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template.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ctrlProps/ctrlProp4.xml" ContentType="application/vnd.ms-excel.controlproperties+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comments4.xml" ContentType="application/vnd.openxmlformats-officedocument.spreadsheetml.comments+xml"/>
  <Override PartName="/xl/threadedComments/threadedComment3.xml" ContentType="application/vnd.ms-excel.threadedcomments+xml"/>
  <Override PartName="/xl/charts/chart1.xml" ContentType="application/vnd.openxmlformats-officedocument.drawingml.chart+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queryTables/queryTable1.xml" ContentType="application/vnd.openxmlformats-officedocument.spreadsheetml.queryTable+xml"/>
  <Override PartName="/xl/comments5.xml" ContentType="application/vnd.openxmlformats-officedocument.spreadsheetml.comments+xml"/>
  <Override PartName="/xl/drawings/drawing7.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codeName="{28389E77-7640-9E18-AD5C-E98E2F4A8B83}"/>
  <workbookPr codeName="ThisWorkbook" defaultThemeVersion="166925"/>
  <mc:AlternateContent xmlns:mc="http://schemas.openxmlformats.org/markup-compatibility/2006">
    <mc:Choice Requires="x15">
      <x15ac:absPath xmlns:x15ac="http://schemas.microsoft.com/office/spreadsheetml/2010/11/ac" url="C:\RA Vault\Administration\Tools\Calculators\"/>
    </mc:Choice>
  </mc:AlternateContent>
  <xr:revisionPtr revIDLastSave="0" documentId="13_ncr:1_{8023FC43-986C-4382-B0BE-F1E74480B945}" xr6:coauthVersionLast="47" xr6:coauthVersionMax="47" xr10:uidLastSave="{00000000-0000-0000-0000-000000000000}"/>
  <workbookProtection workbookAlgorithmName="SHA-512" workbookHashValue="w3vDVE2OIFCvD5d28+iLOHpFVh1UcqPrf8904UgLr9WT4Cmp69n2WVEdSsgare+JcvRXfl2GRN7CyjAnZQDhRQ==" workbookSaltValue="jUnzeVIT7C1rHzRXM4X0NA==" workbookSpinCount="100000" lockStructure="1"/>
  <bookViews>
    <workbookView xWindow="38290" yWindow="-110" windowWidth="38620" windowHeight="21100" tabRatio="836" activeTab="1" xr2:uid="{599AC05D-B3B8-44C2-82E2-2A7EE499893F}"/>
  </bookViews>
  <sheets>
    <sheet name="0. Intro" sheetId="27" r:id="rId1"/>
    <sheet name="1. Start" sheetId="11" r:id="rId2"/>
    <sheet name="2. System Charts" sheetId="23" r:id="rId3"/>
    <sheet name="3. Hardware Options" sheetId="24" r:id="rId4"/>
    <sheet name="4. Custom Fabric" sheetId="26" r:id="rId5"/>
    <sheet name="_ReferenceData" sheetId="4" state="veryHidden" r:id="rId6"/>
    <sheet name="_Chart Formatting_WIP" sheetId="31" state="veryHidden" r:id="rId7"/>
    <sheet name="_SpringData_L0" sheetId="28" state="veryHidden" r:id="rId8"/>
    <sheet name="_SpringData_L1" sheetId="29" state="veryHidden" r:id="rId9"/>
    <sheet name="_SpringData_L2" sheetId="30" state="veryHidden" r:id="rId10"/>
    <sheet name="_FabricList" sheetId="22" state="veryHidden" r:id="rId11"/>
    <sheet name="_Dictionary" sheetId="20" state="veryHidden" r:id="rId12"/>
    <sheet name="_Parameters" sheetId="21" state="veryHidden" r:id="rId13"/>
    <sheet name="_LiveData" sheetId="5" state="veryHidden" r:id="rId14"/>
    <sheet name="_Notes" sheetId="25" state="veryHidden" r:id="rId15"/>
  </sheets>
  <definedNames>
    <definedName name="_xlnm._FilterDatabase" localSheetId="7" hidden="1">_SpringData_L0!$D$3:$Z$110</definedName>
    <definedName name="_xleta.MATCH" hidden="1" xlm="1">#NAME?</definedName>
    <definedName name="_xleta.TYPE" hidden="1" xlm="1">#NAME?</definedName>
    <definedName name="_xlpm.a" hidden="1" xlm="1">#NAME?</definedName>
    <definedName name="_xlpm.b" hidden="1" xlm="1">#NAME?</definedName>
    <definedName name="_xlpm.c" hidden="1" xlm="1">#NAME?</definedName>
    <definedName name="_xlpm.k" hidden="1" xlm="1">#NAME?</definedName>
    <definedName name="_xlpm.t" hidden="1" xlm="1">#NAME?</definedName>
    <definedName name="_xlpm.x" hidden="1" xlm="1">#NAME?</definedName>
    <definedName name="AL_Density" hidden="1">_ReferenceData!$G$5</definedName>
    <definedName name="AL_E" hidden="1">_ReferenceData!$H$5</definedName>
    <definedName name="analysis_maxTorqueDiff" hidden="1">_SpringData_L1!$B$54</definedName>
    <definedName name="Ballast_Description" hidden="1">_ReferenceData!$D$100:$D$106</definedName>
    <definedName name="Ballast_Headers" hidden="1">_ReferenceData!$C$99:$E$99</definedName>
    <definedName name="Ballast_Lookup" hidden="1">_ReferenceData!$C$100:$E$106</definedName>
    <definedName name="Ballast_TotalMass" hidden="1">_Parameters!$Y$74</definedName>
    <definedName name="Ballast_UnitMass" hidden="1">_Parameters!$Y$73</definedName>
    <definedName name="Blind_Load" hidden="1">'1. Start'!$L$8</definedName>
    <definedName name="blindtorque_a" hidden="1">_LiveData!$G$4</definedName>
    <definedName name="blindTorque_maxTurns" hidden="1">_LiveData!$AC$3</definedName>
    <definedName name="Booster_Description" hidden="1">_ReferenceData!$F$45:$F$74</definedName>
    <definedName name="Booster_Headers" hidden="1">_ReferenceData!$C$44:$K$44</definedName>
    <definedName name="Booster_k" hidden="1">_Parameters!$Y$67</definedName>
    <definedName name="Booster_Lookup" hidden="1">_ReferenceData!$C$45:$K$74</definedName>
    <definedName name="Booster_MaxTurns" hidden="1">_Parameters!$Y$68</definedName>
    <definedName name="Booster_Preturns" hidden="1">'1. Start'!$I$21</definedName>
    <definedName name="Booster_Preturns_Max" hidden="1">'1. Start'!$I$22</definedName>
    <definedName name="Booster_SF" hidden="1">_Parameters!$C$9</definedName>
    <definedName name="Booster_TMax" hidden="1">_Parameters!$Y$69</definedName>
    <definedName name="calc_inputDrop" hidden="1">_SpringData_L2!$B$21</definedName>
    <definedName name="calc_inputWidth" hidden="1">_SpringData_L2!$B$20</definedName>
    <definedName name="calcChart_option" hidden="1">_SpringData_L2!$B$2</definedName>
    <definedName name="CalcVer" hidden="1">'1. Start'!$C$2</definedName>
    <definedName name="cnt_CompatibleESABooster" hidden="1">_SpringData_L2!$B$49</definedName>
    <definedName name="Control_BoosterCapacity_kg" hidden="1">_Parameters!$Y$50</definedName>
    <definedName name="Control_Capacity" hidden="1">_Parameters!$Y$47</definedName>
    <definedName name="Control_Capacity_kg" hidden="1">_Parameters!$Y$49</definedName>
    <definedName name="Control_Capacity_units" hidden="1">_Parameters!$Y$48</definedName>
    <definedName name="Control_Capacity2" hidden="1">_Parameters!$Y$60</definedName>
    <definedName name="Control_D" hidden="1">_Parameters!$Y$46</definedName>
    <definedName name="Control_Description" hidden="1">_ReferenceData!$F$117:$F$149</definedName>
    <definedName name="Control_Friction" hidden="1">_Parameters!$Y$52</definedName>
    <definedName name="Control_Headers" hidden="1">_ReferenceData!$C$116:$L$116</definedName>
    <definedName name="Control_Lookup" hidden="1">_ReferenceData!$C$117:$L$146</definedName>
    <definedName name="Control_R" hidden="1">(Control_D/2)</definedName>
    <definedName name="Control_Ratio" hidden="1">_Parameters!$Y$51</definedName>
    <definedName name="Control_RPM" hidden="1">_Parameters!$Y$55</definedName>
    <definedName name="Control_RPM_Default" hidden="1">_Parameters!$Y$54</definedName>
    <definedName name="Control_Type" hidden="1">_Parameters!$Y$53</definedName>
    <definedName name="CurrentRevision" hidden="1">_Parameters!$AB$30</definedName>
    <definedName name="CurrentVersionReturn" hidden="1">_Parameters!$AB$29</definedName>
    <definedName name="Deflection_limit" hidden="1">_Parameters!$C$6</definedName>
    <definedName name="Deflection_Limit_ZS" hidden="1">_Parameters!$C$10</definedName>
    <definedName name="Deflection_Limit2" hidden="1">_Parameters!$C$7</definedName>
    <definedName name="Deflection_Limit3" hidden="1">_Parameters!$C$8</definedName>
    <definedName name="Deflection_Ratio1" hidden="1">1/Deflection_limit</definedName>
    <definedName name="Design_Drop" hidden="1">_Parameters!$C$14</definedName>
    <definedName name="Design_Width_MAX" hidden="1">_Parameters!$T$13</definedName>
    <definedName name="Design_Width_Total" hidden="1">_Parameters!$T$12</definedName>
    <definedName name="Design_Width1" hidden="1">_Parameters!$C$13</definedName>
    <definedName name="Design_Width2" hidden="1">_Parameters!$I$13</definedName>
    <definedName name="Design_Width3" hidden="1">_Parameters!$L$13</definedName>
    <definedName name="Design_Width4" hidden="1">_Parameters!$O$13</definedName>
    <definedName name="Design_Width5" hidden="1">_Parameters!$R$13</definedName>
    <definedName name="Drop_inc" hidden="1">'2. System Charts'!$E$7</definedName>
    <definedName name="drop_start" hidden="1">'2. System Charts'!$E$6</definedName>
    <definedName name="dropLimitin" hidden="1">_SpringData_L2!$B$46</definedName>
    <definedName name="dropLimitmm" hidden="1">_SpringData_L2!$B$45</definedName>
    <definedName name="ESA_IdealSpringRate" hidden="1">_LiveData!$AC$5</definedName>
    <definedName name="ESA_L3_Const" comment="c - coeff c, k - spring rate, t - preturns" localSheetId="8" hidden="1">_xlfn.LAMBDA(_xlpm.c,_xlpm.k,_xlpm.t,_xlpm.c-_xlpm.k*_xlpm.t)</definedName>
    <definedName name="ESA_L3_Const" comment="c - coeff c, k - spring rate, t - preturns" localSheetId="9" hidden="1">_xlfn.LAMBDA(_xlpm.c,_xlpm.k,_xlpm.t,_xlpm.c-_xlpm.k*_xlpm.t)</definedName>
    <definedName name="ESA_L3_Const" comment="c - coeff c, k - spring rate, t - preturns" hidden="1">_xlfn.LAMBDA(_xlpm.c,_xlpm.k,_xlpm.t,_xlpm.c-_xlpm.k*_xlpm.t)</definedName>
    <definedName name="ESAerrorMessage" hidden="1">_ReferenceData!$D$262</definedName>
    <definedName name="excel_ver_error" hidden="1">_ReferenceData!$E$300</definedName>
    <definedName name="ExternalData_1" localSheetId="12" hidden="1">_Parameters!$AW$2:$AX$3</definedName>
    <definedName name="Fabric_Density" hidden="1">_Parameters!$C$15</definedName>
    <definedName name="Fabric_Length" hidden="1">_Parameters!$C$19</definedName>
    <definedName name="Fabric_Thickness" hidden="1">_Parameters!$C$16</definedName>
    <definedName name="Fabric_UnitMass" hidden="1">_Parameters!$C$20</definedName>
    <definedName name="Fabric_UnitMass_Total" hidden="1">_Parameters!$T$20</definedName>
    <definedName name="Fabric_UnitMass2" hidden="1">_Parameters!$I$20</definedName>
    <definedName name="Fabric_UnitMass3" hidden="1">_Parameters!$L$20</definedName>
    <definedName name="Fabric_UnitMass4" hidden="1">_Parameters!$O$20</definedName>
    <definedName name="Fabric_UnitMass5" hidden="1">_Parameters!$R$20</definedName>
    <definedName name="FabricReturn" hidden="1">SUM(T_Fabric[SearchReturn])</definedName>
    <definedName name="findblindTorqueProfile_option" hidden="1">_SpringData_L2!$B$9</definedName>
    <definedName name="Friction" hidden="1">_LiveData!$P$2</definedName>
    <definedName name="Friction_Clutch_Coeff" hidden="1">_Parameters!$Y$79</definedName>
    <definedName name="Friction_Clutch_Dia" hidden="1">_Parameters!$Y$82</definedName>
    <definedName name="Friction_Multiplier" hidden="1">_LiveData!$L$3</definedName>
    <definedName name="g" hidden="1">9.80665</definedName>
    <definedName name="G200_Capacity" hidden="1">_ReferenceData!$H$117</definedName>
    <definedName name="G200_D" hidden="1">_ReferenceData!$G$117</definedName>
    <definedName name="G200_Friction" hidden="1">_ReferenceData!$K$117</definedName>
    <definedName name="G200_Ratio" hidden="1">_ReferenceData!$J$117</definedName>
    <definedName name="G400_Capacity" hidden="1">_ReferenceData!$H$118</definedName>
    <definedName name="G400_D" hidden="1">_ReferenceData!$G$118</definedName>
    <definedName name="G400_Friction" hidden="1">_ReferenceData!$K$118</definedName>
    <definedName name="G400_Ratio" hidden="1">_ReferenceData!$J$118</definedName>
    <definedName name="header_rawSpringData" hidden="1">_SpringData_L0!$H$3:$AA$3</definedName>
    <definedName name="HO_TH_Desc" hidden="1">'3. Hardware Options'!$Q$6:$Q$48</definedName>
    <definedName name="HO_TH_Show" hidden="1">'3. Hardware Options'!$T$6:$T$48</definedName>
    <definedName name="i_Ballast" hidden="1">'1. Start'!$I$9</definedName>
    <definedName name="i_Booster" hidden="1">'1. Start'!$I$20</definedName>
    <definedName name="i_bracket" hidden="1">'1. Start'!$I$26</definedName>
    <definedName name="i_Category" hidden="1">_Parameters!$AN$13</definedName>
    <definedName name="i_Control" hidden="1">'1. Start'!$I$17</definedName>
    <definedName name="i_ControlType" hidden="1">'1. Start'!$I$16</definedName>
    <definedName name="i_controlType_Out" hidden="1">_Parameters!$AM$20</definedName>
    <definedName name="i_Drop" hidden="1">'1. Start'!$E$14</definedName>
    <definedName name="i_ESA_Booster" hidden="1">'1. Start'!$I$23</definedName>
    <definedName name="i_Fabric" hidden="1">'1. Start'!$E$16</definedName>
    <definedName name="i_Fdensity_Custom" hidden="1">'1. Start'!$E$19</definedName>
    <definedName name="i_FThickness_Custom" hidden="1">'1. Start'!$E$20</definedName>
    <definedName name="i_idler" hidden="1">_ReferenceData!$G$273</definedName>
    <definedName name="i_Language" hidden="1">'1. Start'!$S$7</definedName>
    <definedName name="i_Language_Out" hidden="1">_Parameters!#REF!</definedName>
    <definedName name="i_LinkSystem" hidden="1">'1. Start'!$I$29</definedName>
    <definedName name="i_MotorRPM" hidden="1">'1. Start'!$I$19</definedName>
    <definedName name="i_pwa" hidden="1">'1. Start'!$E$11</definedName>
    <definedName name="i_Region" hidden="1">'1. Start'!$E$8</definedName>
    <definedName name="i_Tube" hidden="1">'1. Start'!$I$13</definedName>
    <definedName name="i_TubeDeflectionLimit" hidden="1">'1. Start'!$E$10</definedName>
    <definedName name="i_Units" hidden="1">'1. Start'!$E$9</definedName>
    <definedName name="i_units_Out" hidden="1">_Parameters!$AM$18</definedName>
    <definedName name="i_wb" hidden="1">'1. Start'!$I$8</definedName>
    <definedName name="i_wbballast_Custom" hidden="1">'1. Start'!$I$11</definedName>
    <definedName name="i_width" hidden="1">'1. Start'!$E$13</definedName>
    <definedName name="i_width2" hidden="1">'1. Start'!$E$29</definedName>
    <definedName name="i_width3" hidden="1">'1. Start'!$E$30</definedName>
    <definedName name="i_width4" hidden="1">'1. Start'!$E$31</definedName>
    <definedName name="i_width5" hidden="1">'1. Start'!$E$32</definedName>
    <definedName name="input_BlindDrop" hidden="1">_SpringData_L2!$B$24</definedName>
    <definedName name="input_BlindWidth" hidden="1">_SpringData_L2!$B$23</definedName>
    <definedName name="input_idealSpringRate" hidden="1">_SpringData_L2!$B$19</definedName>
    <definedName name="input_midBlindTorque" hidden="1">_SpringData_L1!$B$60</definedName>
    <definedName name="input_totalBlindTurns" hidden="1">_SpringData_L1!$B$61</definedName>
    <definedName name="InputString" hidden="1">'1. Start'!$E$39</definedName>
    <definedName name="islandfilter_colMax" hidden="1">_SpringData_L0!$B$15</definedName>
    <definedName name="islandFilter_option" hidden="1">_SpringData_L2!$B$12</definedName>
    <definedName name="islandfilter_rowMax" hidden="1">_SpringData_L0!$B$16</definedName>
    <definedName name="L_Ballast" hidden="1">OFFSET(_ReferenceData!$L$100,0,0,_ReferenceData!$L$97)</definedName>
    <definedName name="L_BoostersOut" hidden="1">OFFSET(_ReferenceData!$O$45,0,0,_ReferenceData!$N$45)</definedName>
    <definedName name="L_BracketOptions" hidden="1">OFFSET(_ReferenceData!$P$160,0,0,_ReferenceData!$O$157)</definedName>
    <definedName name="L_Brackets" hidden="1">T_Brackets[Description]</definedName>
    <definedName name="L_CompatibleESABooster" hidden="1">OFFSET(_SpringData_L2!$A$50,0,0,_SpringData_L2!$B$49)</definedName>
    <definedName name="L_ControlsOut" hidden="1">OFFSET(_ReferenceData!$U$117,0,0,_ReferenceData!$S$114)</definedName>
    <definedName name="L_ControlType" hidden="1">OFFSET(_ReferenceData!$J$243,0,0,_ReferenceData!$K$243)</definedName>
    <definedName name="L_FabricSearchList" hidden="1">OFFSET(_FabricList!$P$4,0,0,o_FabricCount)</definedName>
    <definedName name="L_Idler" hidden="1">T_Idler[Description]</definedName>
    <definedName name="L_Language" hidden="1">_Parameters!$AN$3</definedName>
    <definedName name="L_LinkOut" hidden="1">OFFSET(_ReferenceData!$N$213,0,0,_ReferenceData!$N$210)</definedName>
    <definedName name="L_mainControlType" hidden="1">_ReferenceData!$C$243:$C$247</definedName>
    <definedName name="L_Region" hidden="1">_Parameters!$AP$3:$AP$5</definedName>
    <definedName name="L_SheetStatus" hidden="1">_Parameters!$AQ$3:$AQ$5</definedName>
    <definedName name="L_TubesOut" hidden="1">OFFSET(_ReferenceData!$W$15,0,0,IF(SheetStatus="Release - FFA",Tube_Count,_ReferenceData!$U$11))</definedName>
    <definedName name="L_Units" hidden="1">_Parameters!$AM$3:$AM$4</definedName>
    <definedName name="L_WeightBars" hidden="1">OFFSET(_ReferenceData!$M$80,0,0,_ReferenceData!$M$77)</definedName>
    <definedName name="Link_FF" hidden="1">_Parameters!$C$64</definedName>
    <definedName name="LiveData_ControlTorque_Booster" hidden="1">_LiveData!$W$11:$W$100</definedName>
    <definedName name="LiveData_Effort_Boosters_Lifting" hidden="1">OFFSET(_LiveData!$Q$11,0,0,90-COUNTBLANK(_LiveData!$C$11:$C$100),1)</definedName>
    <definedName name="LiveData_Effort_Boosters_Lifting_SF" hidden="1">OFFSET(_LiveData!#REF!,0,0,90-COUNTBLANK(_LiveData!$C$11:$C$100),1)</definedName>
    <definedName name="LiveData_Effort_Boosters_Lowering_SF" hidden="1">OFFSET(_LiveData!#REF!,0,0,90-COUNTBLANK(_LiveData!$C$11:$C$100),1)</definedName>
    <definedName name="LiveData_Effort_NoBoosters_Lifting" hidden="1">OFFSET(_LiveData!$Q$11,0,0,90-COUNTBLANK(_LiveData!$C$11:$C$100),1)</definedName>
    <definedName name="LiveData_Effort_NoBoosters_Lowering" hidden="1">OFFSET(_LiveData!$R$11,0,0,90-COUNTBLANK(_LiveData!$C$11:$C$100),1)</definedName>
    <definedName name="LiveData_Increment" hidden="1">_LiveData!$C$3</definedName>
    <definedName name="LiveData_Lift_Height" hidden="1">OFFSET(_LiveData!$D$11,0,0,90-COUNTBLANK(_LiveData!$C$11:$C$100),1)</definedName>
    <definedName name="LiveData_TopTube_Load" hidden="1">OFFSET(_LiveData!$F$11,0,0,90-COUNTBLANK(_LiveData!$C$11:$C$100),1)</definedName>
    <definedName name="LiveData_TT_Rotations" hidden="1">OFFSET(_LiveData!$C$11,0,0,90-COUNTBLANK(_LiveData!$C$11:$C$100),1)</definedName>
    <definedName name="loc_BlindDrop" hidden="1">_SpringData_L1!$B$9</definedName>
    <definedName name="loc_BlindWidth" hidden="1">_SpringData_L1!$B$8</definedName>
    <definedName name="locHeader_modSpringData_L0" hidden="1">_SpringData_L0!$D$3:$Z$3</definedName>
    <definedName name="locHeader_modSpringData_L1" hidden="1">OFFSET(_SpringData_L1!$D$5,,,1,locTable1_width)</definedName>
    <definedName name="locHeader_rawSpringData" hidden="1">_SpringData_L0!$H$3:$Y$3</definedName>
    <definedName name="locTable_modSpringData_L0" hidden="1">_SpringData_L0!$D$4:$Z$110</definedName>
    <definedName name="locTable_modSpringData_L1" hidden="1">OFFSET(_SpringData_L1!$D$6,,,locTable1_width,locTable1_height)</definedName>
    <definedName name="locTable_modSpringData_L2" hidden="1">OFFSET(_SpringData_L2!$D$10,,,1,locTable1_width)</definedName>
    <definedName name="locTable_modSpringData_L2_all" hidden="1">_SpringData_L2!$D$15:$AC$59</definedName>
    <definedName name="locTable_rawSpringData" hidden="1">_SpringData_L0!$H$4:$Y$82</definedName>
    <definedName name="locTable1_height" hidden="1">_SpringData_L1!$B$36</definedName>
    <definedName name="locTable1_width" hidden="1">_SpringData_L1!$B$35</definedName>
    <definedName name="logic1_FudgedTurns" hidden="1">_SpringData_L1!$B$4</definedName>
    <definedName name="LookupRevision" hidden="1">RevTable[CurrentVersion]</definedName>
    <definedName name="Lowering_Effort_Min" hidden="1">'1. Start'!$L$17</definedName>
    <definedName name="o_Adaptor" hidden="1">_ReferenceData!$S$112</definedName>
    <definedName name="o_BoosterListCount" hidden="1">_ReferenceData!$N$45</definedName>
    <definedName name="o_BoosterPosition" hidden="1">_SpringData_L2!$E$6</definedName>
    <definedName name="o_BoosterPosition2" hidden="1">_SpringData_L2!$C$63</definedName>
    <definedName name="o_BoosterPreTurn" hidden="1">_SpringData_L2!$E$7</definedName>
    <definedName name="o_BoosterPreTurn2" hidden="1">_SpringData_L2!$C$64</definedName>
    <definedName name="o_BoosterRequired" hidden="1">_Parameters!$C$75</definedName>
    <definedName name="o_BoosterType" hidden="1">_SpringData_L2!$E$5</definedName>
    <definedName name="o_BoosterType.Show" hidden="1">'1. Start'!$I$23</definedName>
    <definedName name="o_BracketActualRoll" hidden="1">'1. Start'!$L$11</definedName>
    <definedName name="o_BracketActualRoll_mm" hidden="1">_Parameters!$C$54</definedName>
    <definedName name="O_CalcChart" hidden="1">_SpringData_L0!$A$25:$A$26</definedName>
    <definedName name="o_CassetteActualRoll" hidden="1">_Notes!$G$63</definedName>
    <definedName name="o_CassetteActualRoll_mm" hidden="1">_Parameters!$C$55</definedName>
    <definedName name="o_ChainClearance" hidden="1">'1. Start'!$U$11</definedName>
    <definedName name="o_ChainLength" hidden="1">'1. Start'!$L$18</definedName>
    <definedName name="o_CoveredChainLookup" hidden="1">'1. Start'!$U$10</definedName>
    <definedName name="o_DropHalfTurns" hidden="1">_SpringData_L1!$B$16</definedName>
    <definedName name="o_ESAerrorState" hidden="1">_ReferenceData!$D$261</definedName>
    <definedName name="o_fabric_wb_mass1" hidden="1">_Parameters!$C$24</definedName>
    <definedName name="o_fabric_wb_mass2" hidden="1">_Parameters!$I$24</definedName>
    <definedName name="o_fabric_wb_mass3" hidden="1">_Parameters!$L$24</definedName>
    <definedName name="o_fabric_wb_mass4" hidden="1">_Parameters!$O$24</definedName>
    <definedName name="o_fabric_wb_mass5" hidden="1">_Parameters!$R$24</definedName>
    <definedName name="o_fabric_wb_T_Mass_TOTAL" hidden="1">_Parameters!$C$66</definedName>
    <definedName name="o_fabric_wb_T_Mass1" hidden="1">_Parameters!$C$25</definedName>
    <definedName name="o_fabric_wb_T_Mass2" hidden="1">_Parameters!$I$25</definedName>
    <definedName name="o_fabric_wb_T_Mass3" hidden="1">_Parameters!$L$25</definedName>
    <definedName name="o_fabric_wb_T_Mass4" hidden="1">_Parameters!$O$25</definedName>
    <definedName name="o_fabric_wb_T_Mass5" hidden="1">_Parameters!$R$25</definedName>
    <definedName name="o_FabricCount" hidden="1">_FabricList!$N$2</definedName>
    <definedName name="o_FabricCustom" hidden="1">_Parameters!$C$17</definedName>
    <definedName name="o_FabricMatch" hidden="1">_Parameters!$C$73</definedName>
    <definedName name="o_FabricWidth" hidden="1">_Parameters!$C$58</definedName>
    <definedName name="o_LinkActive" hidden="1">_Parameters!$C$71</definedName>
    <definedName name="o_LinkTorqueReqd" hidden="1">_Parameters!$C$62</definedName>
    <definedName name="o_LinkTorqueSelected" hidden="1">'1. Start'!$I$32</definedName>
    <definedName name="o_maxFabricDiameter" hidden="1">_SpringData_L1!$B$15</definedName>
    <definedName name="o_MaxRollDia" hidden="1">_Parameters!$Y$88</definedName>
    <definedName name="o_MaxRollDia_Units" hidden="1">_Parameters!$Y$89</definedName>
    <definedName name="o_midBlindTorque" hidden="1">_SpringData_L1!$B$14</definedName>
    <definedName name="o_PreturnsEst" hidden="1">_Parameters!$C$35</definedName>
    <definedName name="o_RecPreTurns" hidden="1">_Parameters!$C$32</definedName>
    <definedName name="o_RecTubeOptimised" hidden="1">_ReferenceData!$AN$12</definedName>
    <definedName name="o_RollDiameter" hidden="1">_Parameters!$C$41</definedName>
    <definedName name="o_tmax_bigbooster" hidden="1">_Parameters!$C$27</definedName>
    <definedName name="o_tMax_Sum" hidden="1">_Parameters!$C$61</definedName>
    <definedName name="o_tMax1" hidden="1">_Parameters!$F$28</definedName>
    <definedName name="o_tMax2" hidden="1">_Parameters!$I$28</definedName>
    <definedName name="o_tMax3" hidden="1">_Parameters!$L$28</definedName>
    <definedName name="o_tMax4" hidden="1">_Parameters!$O$28</definedName>
    <definedName name="o_tMax5" hidden="1">_Parameters!$R$28</definedName>
    <definedName name="O_TrueFalse" hidden="1">_SpringData_L0!$A$29:$A$30</definedName>
    <definedName name="o_TubeDefErrorCheck" hidden="1">_Parameters!$C$48</definedName>
    <definedName name="o_TubeDeflection" hidden="1">'1. Start'!$L$13</definedName>
    <definedName name="o_TubeDeflectionLimit1_Units" hidden="1">_Parameters!$C$49</definedName>
    <definedName name="o_TubeDeflectionLimit2_Units" hidden="1">_Parameters!$I$49</definedName>
    <definedName name="o_TubeDeflectionLimit3_Units" hidden="1">_Parameters!$L$49</definedName>
    <definedName name="o_TubeDeflectionLimit4_Units" hidden="1">_Parameters!$O$49</definedName>
    <definedName name="o_TubeDeflectionLimit5_Units" hidden="1">_Parameters!$R$49</definedName>
    <definedName name="o_TubeDeflectionLimitZS_Units" hidden="1">_Parameters!$C$50</definedName>
    <definedName name="o_TubeDeflectionPct1" hidden="1">_Parameters!$C$52</definedName>
    <definedName name="o_TubeDeflectionPct2" hidden="1">_Parameters!$I$52</definedName>
    <definedName name="o_TubeDeflectionPct3" hidden="1">_Parameters!$L$52</definedName>
    <definedName name="o_TubeDeflectionPct4" hidden="1">_Parameters!$O$52</definedName>
    <definedName name="o_TubeDeflectionPct5" hidden="1">_Parameters!$R$52</definedName>
    <definedName name="o_TubeRotations" hidden="1">'1. Start'!$L$10</definedName>
    <definedName name="o_tubeTurns" hidden="1">_SpringData_L1!$B$13</definedName>
    <definedName name="O_YesNo" hidden="1">_SpringData_L0!$A$20:$A$21</definedName>
    <definedName name="Optimise_UserEffort" hidden="1">_Parameters!$C$39</definedName>
    <definedName name="OutputString" hidden="1">'1. Start'!$K$39</definedName>
    <definedName name="Quadratic" comment="a - coeff x², b - coeff x, c - const, x - input" localSheetId="8" hidden="1">_xlfn.LAMBDA(_xlpm.a,_xlpm.b,_xlpm.c,_xlpm.x,_xlpm.a*_xlpm.x^2+_xlpm.b*_xlpm.x+_xlpm.c)</definedName>
    <definedName name="Quadratic" comment="a - coeff x², b - coeff x, c - const, x - input" localSheetId="9" hidden="1">_xlfn.LAMBDA(_xlpm.a,_xlpm.b,_xlpm.c,_xlpm.x,_xlpm.a*_xlpm.x^2+_xlpm.b*_xlpm.x+_xlpm.c)</definedName>
    <definedName name="Quadratic" comment="a - coeff x², b - coeff x, c - const, x - input" hidden="1">_xlfn.LAMBDA(_xlpm.a,_xlpm.b,_xlpm.c,_xlpm.x,_xlpm.a*_xlpm.x^2+_xlpm.b*_xlpm.x+_xlpm.c)</definedName>
    <definedName name="RB09_S45" hidden="1">_ReferenceData!$F$125</definedName>
    <definedName name="rng_SettingsCopy" hidden="1">'1. Start'!$E$17:$E$40</definedName>
    <definedName name="S60_STD" hidden="1">_ReferenceData!$H$30</definedName>
    <definedName name="SelectSetup" hidden="1">'1. Start'!$I$6</definedName>
    <definedName name="SF_Lifting" hidden="1">0</definedName>
    <definedName name="SF_Lowering" hidden="1">0</definedName>
    <definedName name="SheetStatus" hidden="1">'1. Start'!$L$1</definedName>
    <definedName name="ShowHide" hidden="1">_Parameters!$AR$3:$AR$4</definedName>
    <definedName name="StartHere" hidden="1">'0. Intro'!$B$2</definedName>
    <definedName name="Steel_E" hidden="1">_ReferenceData!$H$6</definedName>
    <definedName name="table_rawSpringData" hidden="1">_SpringData_L0!$H$4:$Z$110</definedName>
    <definedName name="Tube_ControlCompatibility" hidden="1">_ReferenceData!$W$116:$AT$116</definedName>
    <definedName name="Tube_ControlCompatibility_Check" hidden="1">OFFSET(_ReferenceData!$W$117:$AT$146,MATCH(i_ControlType,_ReferenceData!$E$117:$E$147,0),0,1)</definedName>
    <definedName name="Tube_Count" hidden="1">_ReferenceData!$T$13</definedName>
    <definedName name="Tube_Deflection1" hidden="1">_Parameters!$C$45</definedName>
    <definedName name="Tube_Deflection1_Units" hidden="1">_Parameters!$C$51</definedName>
    <definedName name="Tube_Deflection2" hidden="1">_Parameters!$I$45</definedName>
    <definedName name="Tube_Deflection2_Units" hidden="1">_Parameters!$I$51</definedName>
    <definedName name="Tube_Deflection3" hidden="1">_Parameters!$L$45</definedName>
    <definedName name="Tube_Deflection3_Units" hidden="1">_Parameters!$L$51</definedName>
    <definedName name="Tube_Deflection4" hidden="1">_Parameters!$O$45</definedName>
    <definedName name="Tube_Deflection4_Units" hidden="1">_Parameters!$O$51</definedName>
    <definedName name="Tube_Deflection5" hidden="1">_Parameters!$R$45</definedName>
    <definedName name="Tube_Deflection5_Units" hidden="1">_Parameters!$R$51</definedName>
    <definedName name="Tube_Description" hidden="1">_ReferenceData!$H$15:$H$38</definedName>
    <definedName name="Tube_Headers" hidden="1">_ReferenceData!$C$14:$N$14</definedName>
    <definedName name="Tube_IE" hidden="1">_Parameters!$Y$10</definedName>
    <definedName name="Tube_Imin" hidden="1">_Parameters!$Y$9</definedName>
    <definedName name="Tube_Lookup" hidden="1">_ReferenceData!$C$15:$N$38</definedName>
    <definedName name="Tube_MaxArea" hidden="1">_Parameters!$Y$12</definedName>
    <definedName name="Tube_MaxLength" hidden="1">_Parameters!$Y$14</definedName>
    <definedName name="Tube_OD" hidden="1">_Parameters!$Y$8</definedName>
    <definedName name="Tube_OR_wPreWrap" hidden="1">_LiveData!$H$8</definedName>
    <definedName name="Tube_R" hidden="1">_Parameters!$Y$8/2</definedName>
    <definedName name="Tube_rec" hidden="1">_ReferenceData!$W$10</definedName>
    <definedName name="Tube_Rotations" hidden="1">_Parameters!$C$46</definedName>
    <definedName name="Tube_TotalMass" hidden="1">_Parameters!$Y$13</definedName>
    <definedName name="Tube_UnitMass" hidden="1">_Parameters!$Y$11</definedName>
    <definedName name="Tube1_OD" hidden="1">_Parameters!$Y$8</definedName>
    <definedName name="Tube2_IE" hidden="1">_Parameters!$Y$20</definedName>
    <definedName name="Tube2_Imin" hidden="1">_Parameters!$Y$19</definedName>
    <definedName name="Tube2_MaxArea" hidden="1">_Parameters!$Y$22</definedName>
    <definedName name="Tube2_MaxLength" hidden="1">_Parameters!$Y$24</definedName>
    <definedName name="Tube2_OD" hidden="1">_Parameters!$Y$18</definedName>
    <definedName name="Tube2_TotalMass" hidden="1">_Parameters!$Y$23</definedName>
    <definedName name="Tube2_UnitMass" hidden="1">_Parameters!$Y$21</definedName>
    <definedName name="Tube3_IE" hidden="1">_Parameters!$Y$30</definedName>
    <definedName name="Tube3_Imin" hidden="1">_Parameters!$Y$29</definedName>
    <definedName name="Tube3_MaxArea" hidden="1">_Parameters!$Y$32</definedName>
    <definedName name="Tube3_MaxLength" hidden="1">_Parameters!$Y$34</definedName>
    <definedName name="Tube3_OD" hidden="1">_Parameters!$Y$28</definedName>
    <definedName name="Tube3_TotalMass" hidden="1">_Parameters!$Y$33</definedName>
    <definedName name="Tube3_UnitMass" hidden="1">_Parameters!$Y$31</definedName>
    <definedName name="UnitStorage" hidden="1">'1. Start'!$R$3</definedName>
    <definedName name="UserEffort_Max" hidden="1">_Parameters!$C$4</definedName>
    <definedName name="UserEffort_Max2" hidden="1">_Parameters!$C$5</definedName>
    <definedName name="wb_Ballast_UnitMass" hidden="1">_Parameters!$C$21</definedName>
    <definedName name="wb_Description" hidden="1">_ReferenceData!$F$80:$F$91</definedName>
    <definedName name="wb_Headers" hidden="1">_ReferenceData!$C$79:$K$79</definedName>
    <definedName name="wb_IE" hidden="1">_Parameters!$Y$40</definedName>
    <definedName name="wb_Imin" hidden="1">_Parameters!$Y$39</definedName>
    <definedName name="wb_Length" hidden="1">_Parameters!$Y$38</definedName>
    <definedName name="wb_Lookup" hidden="1">_ReferenceData!$C$81:$M$90</definedName>
    <definedName name="wb_TotalMass" hidden="1">_Parameters!$Y$42</definedName>
    <definedName name="wb_UnitMass" hidden="1">_Parameters!$Y$41</definedName>
    <definedName name="width_inc" hidden="1">'2. System Charts'!$E$5</definedName>
    <definedName name="width_Start" hidden="1">'2. System Charts'!$E$4</definedName>
    <definedName name="YesNo" hidden="1">_Parameters!$AO$3:$AO$4</definedName>
    <definedName name="z_AvgFabric" hidden="1">_Dictionary!$C$61</definedName>
    <definedName name="z_Ballast" hidden="1">_Dictionary!$C$71</definedName>
    <definedName name="z_BktRollDiameter" hidden="1">_Dictionary!$C$102</definedName>
    <definedName name="z_BoosterPreturns" hidden="1">_Dictionary!$C$26</definedName>
    <definedName name="z_CassetteRollDia" hidden="1">_Dictionary!$C$38</definedName>
    <definedName name="z_ChainLength" hidden="1">_Dictionary!$C$44</definedName>
    <definedName name="z_ChainLoopLength" hidden="1">_Dictionary!$C$45</definedName>
    <definedName name="z_ChartNote1" hidden="1">_Dictionary!$C$98</definedName>
    <definedName name="z_ChartNote2" hidden="1">_Dictionary!$C$99</definedName>
    <definedName name="z_ChartNote3" hidden="1">_Dictionary!$C$100</definedName>
    <definedName name="z_ChartNote4" hidden="1">_Dictionary!$C$101</definedName>
    <definedName name="z_Clutch" hidden="1">_Dictionary!$C$66</definedName>
    <definedName name="z_Control" hidden="1">_Dictionary!$C$72</definedName>
    <definedName name="z_ControlCapacity" hidden="1">_Dictionary!$C$41</definedName>
    <definedName name="z_CustomEntry" hidden="1">_Dictionary!$C$59</definedName>
    <definedName name="z_CustomFabDensity" hidden="1">_Dictionary!$C$74</definedName>
    <definedName name="z_CustomFabThickness" hidden="1">_Dictionary!$C$75</definedName>
    <definedName name="z_CustomFData" hidden="1">_Dictionary!$C$103</definedName>
    <definedName name="z_CustomWBData" hidden="1">_Dictionary!$C$104</definedName>
    <definedName name="z_CustomWeight" hidden="1">_Dictionary!$C$73</definedName>
    <definedName name="z_Density" hidden="1">_Dictionary!$C$11</definedName>
    <definedName name="z_Drop" hidden="1">_Dictionary!$C$8</definedName>
    <definedName name="z_DropIncrement" hidden="1">_Dictionary!$C$97</definedName>
    <definedName name="z_DropStart" hidden="1">_Dictionary!$C$96</definedName>
    <definedName name="z_EnterValue" hidden="1">_Dictionary!$C$60</definedName>
    <definedName name="z_ESA" hidden="1">_Dictionary!$C$65</definedName>
    <definedName name="z_ESA_BoosterType" hidden="1">_Dictionary!$C$62</definedName>
    <definedName name="z_ESA_Position" hidden="1">_Dictionary!$C$63</definedName>
    <definedName name="z_ESA_preTurn" hidden="1">_Dictionary!$C$64</definedName>
    <definedName name="z_Fabric" hidden="1">_Dictionary!$C$10</definedName>
    <definedName name="z_Fabric_RR_No" hidden="1">_Dictionary!$C$89</definedName>
    <definedName name="z_Fabric_RR_Yes" hidden="1">_Dictionary!$C$88</definedName>
    <definedName name="z_FabricDensity" hidden="1">_Dictionary!$C$6</definedName>
    <definedName name="z_FabricNotes" hidden="1">_Dictionary!$C$54</definedName>
    <definedName name="z_FabricSearch" hidden="1">_Dictionary!$C$4</definedName>
    <definedName name="z_FabricThickness" hidden="1">_Dictionary!$C$7</definedName>
    <definedName name="z_fabricwbmass" hidden="1">_Dictionary!$C$34</definedName>
    <definedName name="z_fabricwbtubemass" hidden="1">_Dictionary!$C$35</definedName>
    <definedName name="z_FabricWidth" hidden="1">_Dictionary!$C$90</definedName>
    <definedName name="z_FinishInputs" hidden="1">_Dictionary!$C$105</definedName>
    <definedName name="Z_Global" hidden="1">_Dictionary!$C$83</definedName>
    <definedName name="z_Hide" hidden="1">_Dictionary!$C$82</definedName>
    <definedName name="z_Imperial" hidden="1">_Dictionary!$C$77</definedName>
    <definedName name="z_InputDrop" hidden="1">_Dictionary!$C$14</definedName>
    <definedName name="z_Inputs" hidden="1">_Dictionary!$C$53</definedName>
    <definedName name="z_inputWidth" hidden="1">_Dictionary!$C$13</definedName>
    <definedName name="z_Language" hidden="1">_Dictionary!$C$49</definedName>
    <definedName name="z_LastUpdate" hidden="1">_Dictionary!$C$51</definedName>
    <definedName name="z_MaxBoosterPreturns" hidden="1">_Dictionary!$C$27</definedName>
    <definedName name="z_Metric" hidden="1">_Dictionary!$C$76</definedName>
    <definedName name="z_minSystemWidth" hidden="1">_Dictionary!$C$107</definedName>
    <definedName name="z_Motor" hidden="1">_Dictionary!$C$67</definedName>
    <definedName name="z_MotorDropS" hidden="1">_Dictionary!$C$40</definedName>
    <definedName name="z_MotorRPM" hidden="1">_Dictionary!$C$24</definedName>
    <definedName name="z_motorRunTimes" hidden="1">_Dictionary!$C$92</definedName>
    <definedName name="z_No" hidden="1">_Dictionary!$C$80</definedName>
    <definedName name="z_NoData" hidden="1">_Dictionary!$C$91</definedName>
    <definedName name="z_None" hidden="1">_Dictionary!$C$78</definedName>
    <definedName name="z_NoOptions" hidden="1">_Dictionary!$C$87</definedName>
    <definedName name="z_NoteFabric" hidden="1">_Dictionary!$C$84</definedName>
    <definedName name="z_NoteSelect" hidden="1">_Dictionary!$C$85</definedName>
    <definedName name="z_NoteSelectTube" hidden="1">_Dictionary!$C$106</definedName>
    <definedName name="z_Outputs" hidden="1">_Dictionary!$C$52</definedName>
    <definedName name="z_ProductOptionsText1" hidden="1">_Dictionary!$C$86</definedName>
    <definedName name="z_RecTube" hidden="1">_Dictionary!$C$19</definedName>
    <definedName name="z_ReferCatalogue" hidden="1">_Dictionary!$C$28</definedName>
    <definedName name="z_Region" hidden="1">_Dictionary!$C$50</definedName>
    <definedName name="z_rollDiameter" hidden="1">_Dictionary!$C$37</definedName>
    <definedName name="z_Seconds" hidden="1">_Dictionary!$C$55</definedName>
    <definedName name="z_SelectaControl" hidden="1">_Dictionary!$C$58</definedName>
    <definedName name="z_SelectBallast" hidden="1">_Dictionary!$C$16</definedName>
    <definedName name="z_selectBooster" hidden="1">_Dictionary!$C$25</definedName>
    <definedName name="z_SelectBracket" hidden="1">_Dictionary!$C$22</definedName>
    <definedName name="z_SelectControl" hidden="1">_Dictionary!$C$21</definedName>
    <definedName name="z_SelectControlType" hidden="1">_Dictionary!$C$20</definedName>
    <definedName name="z_SelectFabric" hidden="1">_Dictionary!$C$5</definedName>
    <definedName name="z_SelectTube" hidden="1">_Dictionary!$C$18</definedName>
    <definedName name="z_Selectwb" hidden="1">_Dictionary!$C$15</definedName>
    <definedName name="z_ShadeTorque" hidden="1">_Dictionary!$C$29</definedName>
    <definedName name="z_Show" hidden="1">_Dictionary!$C$81</definedName>
    <definedName name="z_TableSetup" hidden="1">_Dictionary!$C$93</definedName>
    <definedName name="z_Thickness" hidden="1">_Dictionary!$C$12</definedName>
    <definedName name="z_Title" hidden="1">_Dictionary!$C$3</definedName>
    <definedName name="z_TopHardware" hidden="1">_Dictionary!$C$68</definedName>
    <definedName name="z_Tube" hidden="1">_Dictionary!$C$69</definedName>
    <definedName name="z_TubeAdaptor" hidden="1">_Dictionary!$C$23</definedName>
    <definedName name="z_TubeDeflection" hidden="1">_Dictionary!$C$39</definedName>
    <definedName name="z_TubeRotations" hidden="1">_Dictionary!$C$36</definedName>
    <definedName name="z_Turns" hidden="1">_Dictionary!$C$56</definedName>
    <definedName name="z_Units" hidden="1">_Dictionary!$C$48</definedName>
    <definedName name="z_UserEffortLift" hidden="1">_Dictionary!$C$42</definedName>
    <definedName name="z_UserEffortLowering" hidden="1">_Dictionary!$C$43</definedName>
    <definedName name="z_wbBallastWeight" hidden="1">_Dictionary!$C$17</definedName>
    <definedName name="z_wbunitmass" hidden="1">_Dictionary!$C$33</definedName>
    <definedName name="z_WeightBar" hidden="1">_Dictionary!$C$70</definedName>
    <definedName name="z_Width" hidden="1">_Dictionary!$C$9</definedName>
    <definedName name="z_WidthIncrement" hidden="1">_Dictionary!$C$95</definedName>
    <definedName name="z_WidthStart" hidden="1">_Dictionary!$C$94</definedName>
    <definedName name="z_Yes" hidden="1">_Dictionary!$C$79</definedName>
    <definedName name="ZipThickness" hidden="1">'1. Start'!$E$48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3" i="21" l="1"/>
  <c r="F106" i="4"/>
  <c r="L46" i="4"/>
  <c r="R128" i="4"/>
  <c r="H105" i="4" a="1"/>
  <c r="H105" i="4" s="1"/>
  <c r="H106" i="4" a="1"/>
  <c r="H106" i="4" s="1"/>
  <c r="E106" i="4"/>
  <c r="H101" i="4" a="1"/>
  <c r="H101" i="4" s="1"/>
  <c r="H102" i="4" a="1"/>
  <c r="H102" i="4" s="1"/>
  <c r="H103" i="4" a="1"/>
  <c r="H103" i="4" s="1"/>
  <c r="H104" i="4" a="1"/>
  <c r="H104" i="4" s="1"/>
  <c r="H100" i="4" a="1"/>
  <c r="H100" i="4" s="1"/>
  <c r="M35" i="24"/>
  <c r="M31" i="24"/>
  <c r="M32" i="24"/>
  <c r="M33" i="24"/>
  <c r="M34" i="24"/>
  <c r="L47" i="4"/>
  <c r="L48" i="4"/>
  <c r="L49" i="4"/>
  <c r="L50" i="4"/>
  <c r="L51" i="4"/>
  <c r="L52" i="4"/>
  <c r="L53" i="4"/>
  <c r="L54" i="4"/>
  <c r="L57" i="4"/>
  <c r="L58" i="4"/>
  <c r="L59" i="4"/>
  <c r="L60" i="4"/>
  <c r="L61" i="4"/>
  <c r="L62" i="4"/>
  <c r="L63" i="4"/>
  <c r="L64" i="4"/>
  <c r="L65" i="4"/>
  <c r="L66" i="4"/>
  <c r="L67" i="4"/>
  <c r="L68" i="4"/>
  <c r="L69" i="4"/>
  <c r="L70" i="4"/>
  <c r="L71" i="4"/>
  <c r="L72" i="4"/>
  <c r="L73" i="4"/>
  <c r="L74" i="4"/>
  <c r="P130" i="4"/>
  <c r="Q130" i="4" a="1"/>
  <c r="Q130" i="4" s="1"/>
  <c r="R130" i="4"/>
  <c r="AC201" i="4"/>
  <c r="AC172" i="4"/>
  <c r="F71" i="22"/>
  <c r="F72" i="22"/>
  <c r="F73" i="22"/>
  <c r="F74" i="22"/>
  <c r="F75" i="22"/>
  <c r="F76" i="22"/>
  <c r="F77" i="22"/>
  <c r="F78" i="22"/>
  <c r="F79" i="22"/>
  <c r="F80" i="22"/>
  <c r="F81" i="22"/>
  <c r="F82" i="22"/>
  <c r="F83" i="22"/>
  <c r="F84" i="22"/>
  <c r="F85" i="22"/>
  <c r="F86" i="22"/>
  <c r="F87" i="22"/>
  <c r="F88" i="22"/>
  <c r="F89" i="22"/>
  <c r="F90" i="22"/>
  <c r="F91" i="22"/>
  <c r="E71" i="22"/>
  <c r="E72" i="22"/>
  <c r="E73" i="22"/>
  <c r="E74" i="22"/>
  <c r="E75" i="22"/>
  <c r="E76" i="22"/>
  <c r="E77" i="22"/>
  <c r="E78" i="22"/>
  <c r="E79" i="22"/>
  <c r="E80" i="22"/>
  <c r="E81" i="22"/>
  <c r="E82" i="22"/>
  <c r="E83" i="22"/>
  <c r="E84" i="22"/>
  <c r="E85" i="22"/>
  <c r="E86" i="22"/>
  <c r="E87" i="22"/>
  <c r="E88" i="22"/>
  <c r="E89" i="22"/>
  <c r="E90" i="22"/>
  <c r="E91" i="22"/>
  <c r="AP30" i="4" l="1"/>
  <c r="E29" i="24"/>
  <c r="C29" i="24"/>
  <c r="R118" i="4"/>
  <c r="R119" i="4"/>
  <c r="R120" i="4"/>
  <c r="R121" i="4"/>
  <c r="R122" i="4"/>
  <c r="R123" i="4"/>
  <c r="R124" i="4"/>
  <c r="R125" i="4"/>
  <c r="R126" i="4"/>
  <c r="R127" i="4"/>
  <c r="R129" i="4"/>
  <c r="R131" i="4"/>
  <c r="R132" i="4"/>
  <c r="R133" i="4"/>
  <c r="R134" i="4"/>
  <c r="R135" i="4"/>
  <c r="R136" i="4"/>
  <c r="R137" i="4"/>
  <c r="R138" i="4"/>
  <c r="R139" i="4"/>
  <c r="R140" i="4"/>
  <c r="R141" i="4"/>
  <c r="R142" i="4"/>
  <c r="R143" i="4"/>
  <c r="R144" i="4"/>
  <c r="R145" i="4"/>
  <c r="R146" i="4"/>
  <c r="Q118" i="4" a="1"/>
  <c r="Q118" i="4" s="1"/>
  <c r="Q119" i="4" a="1"/>
  <c r="Q119" i="4" s="1"/>
  <c r="Q120" i="4" a="1"/>
  <c r="Q120" i="4" s="1"/>
  <c r="Q121" i="4" a="1"/>
  <c r="Q121" i="4" s="1"/>
  <c r="Q122" i="4" a="1"/>
  <c r="Q122" i="4" s="1"/>
  <c r="Q123" i="4" a="1"/>
  <c r="Q123" i="4" s="1"/>
  <c r="Q124" i="4" a="1"/>
  <c r="Q124" i="4" s="1"/>
  <c r="Q125" i="4" a="1"/>
  <c r="Q125" i="4" s="1"/>
  <c r="Q126" i="4" a="1"/>
  <c r="Q126" i="4" s="1"/>
  <c r="Q127" i="4" a="1"/>
  <c r="Q127" i="4" s="1"/>
  <c r="Q128" i="4" a="1"/>
  <c r="Q128" i="4" s="1"/>
  <c r="Q129" i="4" a="1"/>
  <c r="Q129" i="4" s="1"/>
  <c r="Q131" i="4" a="1"/>
  <c r="Q131" i="4" s="1"/>
  <c r="Q132" i="4" a="1"/>
  <c r="Q132" i="4" s="1"/>
  <c r="Q133" i="4" a="1"/>
  <c r="Q133" i="4" s="1"/>
  <c r="Q134" i="4" a="1"/>
  <c r="Q134" i="4" s="1"/>
  <c r="Q135" i="4" a="1"/>
  <c r="Q135" i="4" s="1"/>
  <c r="Q136" i="4" a="1"/>
  <c r="Q136" i="4" s="1"/>
  <c r="Q137" i="4" a="1"/>
  <c r="Q137" i="4" s="1"/>
  <c r="Q138" i="4" a="1"/>
  <c r="Q138" i="4" s="1"/>
  <c r="Q139" i="4" a="1"/>
  <c r="Q139" i="4" s="1"/>
  <c r="Q140" i="4" a="1"/>
  <c r="Q140" i="4" s="1"/>
  <c r="Q141" i="4" a="1"/>
  <c r="Q141" i="4" s="1"/>
  <c r="Q142" i="4" a="1"/>
  <c r="Q142" i="4" s="1"/>
  <c r="Q143" i="4" a="1"/>
  <c r="Q143" i="4" s="1"/>
  <c r="Q144" i="4" a="1"/>
  <c r="Q144" i="4" s="1"/>
  <c r="Q145" i="4" a="1"/>
  <c r="Q145" i="4" s="1"/>
  <c r="Q146" i="4" a="1"/>
  <c r="Q146" i="4" s="1"/>
  <c r="P136" i="4"/>
  <c r="P137" i="4"/>
  <c r="C19" i="4"/>
  <c r="Q117" i="4" a="1"/>
  <c r="Q117" i="4" s="1"/>
  <c r="F19" i="4" l="1"/>
  <c r="Y34" i="21"/>
  <c r="Y32" i="21"/>
  <c r="Y31" i="21"/>
  <c r="Y29" i="21"/>
  <c r="Y28" i="21"/>
  <c r="Y24" i="21"/>
  <c r="X17" i="21"/>
  <c r="Y22" i="21"/>
  <c r="Y21" i="21"/>
  <c r="Y19" i="21"/>
  <c r="Y18" i="21"/>
  <c r="H82" i="22"/>
  <c r="H83" i="22"/>
  <c r="H84" i="22"/>
  <c r="H85" i="22"/>
  <c r="H86" i="22"/>
  <c r="H87" i="22"/>
  <c r="H88" i="22"/>
  <c r="R13" i="21" a="1"/>
  <c r="R13" i="21" s="1"/>
  <c r="O13" i="21" a="1"/>
  <c r="O13" i="21" s="1"/>
  <c r="C71" i="21"/>
  <c r="N213" i="4" s="1" a="1"/>
  <c r="N213" i="4" s="1"/>
  <c r="R48" i="24"/>
  <c r="T48" i="24"/>
  <c r="P49" i="21"/>
  <c r="S49" i="21"/>
  <c r="AW183" i="4" l="1"/>
  <c r="L183" i="4"/>
  <c r="N183" i="4" a="1"/>
  <c r="N183" i="4" s="1"/>
  <c r="AR187" i="4" l="1"/>
  <c r="AR186" i="4"/>
  <c r="AR185" i="4"/>
  <c r="AR184" i="4"/>
  <c r="AS187" i="4"/>
  <c r="N187" i="4" a="1"/>
  <c r="N187" i="4" s="1"/>
  <c r="L187" i="4"/>
  <c r="AW187" i="4" l="1"/>
  <c r="T55" i="4"/>
  <c r="L55" i="4" s="1"/>
  <c r="T56" i="4"/>
  <c r="L56" i="4" s="1"/>
  <c r="S54" i="4"/>
  <c r="S53" i="4"/>
  <c r="I56" i="4"/>
  <c r="I55" i="4"/>
  <c r="I54" i="4"/>
  <c r="I53" i="4"/>
  <c r="F267" i="4"/>
  <c r="R83" i="28" a="1"/>
  <c r="R4" i="28" a="1"/>
  <c r="R47" i="28" a="1"/>
  <c r="R50" i="28" a="1"/>
  <c r="R14" i="28" a="1"/>
  <c r="R29" i="28" a="1"/>
  <c r="R20" i="28" a="1"/>
  <c r="R70" i="28" a="1"/>
  <c r="R73" i="28" a="1"/>
  <c r="R42" i="28" a="1"/>
  <c r="R54" i="28" a="1"/>
  <c r="R62" i="28" a="1"/>
  <c r="R26" i="28" a="1"/>
  <c r="R21" i="28" a="1"/>
  <c r="R56" i="28" a="1"/>
  <c r="R36" i="28" a="1"/>
  <c r="R55" i="28" a="1"/>
  <c r="R28" i="28" a="1"/>
  <c r="R35" i="28" a="1"/>
  <c r="R40" i="28" a="1"/>
  <c r="R79" i="28" a="1"/>
  <c r="R22" i="28" a="1"/>
  <c r="R66" i="28" a="1"/>
  <c r="R11" i="28" a="1"/>
  <c r="R68" i="28" a="1"/>
  <c r="R74" i="28" a="1"/>
  <c r="R60" i="28" a="1"/>
  <c r="R45" i="28" a="1"/>
  <c r="R44" i="28" a="1"/>
  <c r="R27" i="28" a="1"/>
  <c r="R19" i="28" a="1"/>
  <c r="R25" i="28" a="1"/>
  <c r="R46" i="28" a="1"/>
  <c r="R41" i="28" a="1"/>
  <c r="R38" i="28" a="1"/>
  <c r="R53" i="28" a="1"/>
  <c r="R61" i="28" a="1"/>
  <c r="R18" i="28" a="1"/>
  <c r="R77" i="28" a="1"/>
  <c r="R8" i="28" a="1"/>
  <c r="R57" i="28" a="1"/>
  <c r="R67" i="28" a="1"/>
  <c r="R24" i="28" a="1"/>
  <c r="R7" i="28" a="1"/>
  <c r="R12" i="28" a="1"/>
  <c r="R75" i="28" a="1"/>
  <c r="R5" i="28" a="1"/>
  <c r="R85" i="28" a="1"/>
  <c r="R33" i="28" a="1"/>
  <c r="R39" i="28" a="1"/>
  <c r="R82" i="28" a="1"/>
  <c r="R72" i="28" a="1"/>
  <c r="R65" i="28" a="1"/>
  <c r="R69" i="28" a="1"/>
  <c r="R23" i="28" a="1"/>
  <c r="R51" i="28" a="1"/>
  <c r="R10" i="28" a="1"/>
  <c r="R48" i="28" a="1"/>
  <c r="R63" i="28" a="1"/>
  <c r="R49" i="28" a="1"/>
  <c r="R59" i="28" a="1"/>
  <c r="R52" i="28" a="1"/>
  <c r="R76" i="28" a="1"/>
  <c r="R16" i="28" a="1"/>
  <c r="R78" i="28" a="1"/>
  <c r="R58" i="28" a="1"/>
  <c r="R34" i="28" a="1"/>
  <c r="R80" i="28" a="1"/>
  <c r="R43" i="28" a="1"/>
  <c r="R84" i="28" a="1"/>
  <c r="R32" i="28" a="1"/>
  <c r="R30" i="28" a="1"/>
  <c r="R6" i="28" a="1"/>
  <c r="R81" i="28" a="1"/>
  <c r="R64" i="28" a="1"/>
  <c r="R31" i="28" a="1"/>
  <c r="R37" i="28" a="1"/>
  <c r="R13" i="28" a="1"/>
  <c r="R15" i="28" a="1"/>
  <c r="R17" i="28" a="1"/>
  <c r="R9" i="28" a="1"/>
  <c r="R71" i="28" a="1"/>
  <c r="R13" i="28" l="1"/>
  <c r="R29" i="28"/>
  <c r="R74" i="28"/>
  <c r="R33" i="28"/>
  <c r="R15" i="28"/>
  <c r="R44" i="28"/>
  <c r="R81" i="28"/>
  <c r="R40" i="28"/>
  <c r="R84" i="28"/>
  <c r="R54" i="28"/>
  <c r="R36" i="28"/>
  <c r="R16" i="28"/>
  <c r="R60" i="28"/>
  <c r="R64" i="28"/>
  <c r="R68" i="28"/>
  <c r="R72" i="28"/>
  <c r="R58" i="28"/>
  <c r="R23" i="28"/>
  <c r="R41" i="28"/>
  <c r="R43" i="28"/>
  <c r="R31" i="28"/>
  <c r="R57" i="28"/>
  <c r="R39" i="28"/>
  <c r="R65" i="28"/>
  <c r="R51" i="28"/>
  <c r="R47" i="28"/>
  <c r="R38" i="28"/>
  <c r="R73" i="28"/>
  <c r="R59" i="28"/>
  <c r="R55" i="28"/>
  <c r="R7" i="28"/>
  <c r="R27" i="28"/>
  <c r="R67" i="28"/>
  <c r="R37" i="28"/>
  <c r="R78" i="28"/>
  <c r="R28" i="28"/>
  <c r="R46" i="28"/>
  <c r="R52" i="28"/>
  <c r="R26" i="28"/>
  <c r="R48" i="28"/>
  <c r="R56" i="28"/>
  <c r="R42" i="28"/>
  <c r="R6" i="28"/>
  <c r="R32" i="28"/>
  <c r="R50" i="28"/>
  <c r="R62" i="28"/>
  <c r="R17" i="28"/>
  <c r="R76" i="28"/>
  <c r="R80" i="28"/>
  <c r="R66" i="28"/>
  <c r="R19" i="28"/>
  <c r="R82" i="28"/>
  <c r="R22" i="28"/>
  <c r="R63" i="28"/>
  <c r="R8" i="28"/>
  <c r="R70" i="28"/>
  <c r="R75" i="28"/>
  <c r="R45" i="28"/>
  <c r="R79" i="28"/>
  <c r="R11" i="28"/>
  <c r="R14" i="28"/>
  <c r="R49" i="28"/>
  <c r="R24" i="28"/>
  <c r="R18" i="28"/>
  <c r="R30" i="28"/>
  <c r="R34" i="28"/>
  <c r="R4" i="28"/>
  <c r="R71" i="28"/>
  <c r="R9" i="28"/>
  <c r="R10" i="28"/>
  <c r="R83" i="28"/>
  <c r="R53" i="28"/>
  <c r="R69" i="28"/>
  <c r="R77" i="28"/>
  <c r="R85" i="28"/>
  <c r="R35" i="28"/>
  <c r="R12" i="28"/>
  <c r="R5" i="28"/>
  <c r="R21" i="28"/>
  <c r="R61" i="28"/>
  <c r="R25" i="28"/>
  <c r="R20" i="28"/>
  <c r="M14" i="24"/>
  <c r="M15" i="24"/>
  <c r="M16" i="24"/>
  <c r="M17" i="24"/>
  <c r="M18" i="24"/>
  <c r="M19" i="24"/>
  <c r="M20" i="24"/>
  <c r="M21" i="24"/>
  <c r="M22" i="24"/>
  <c r="M23" i="24"/>
  <c r="M24" i="24"/>
  <c r="M25" i="24"/>
  <c r="M26" i="24"/>
  <c r="M27" i="24"/>
  <c r="M28" i="24"/>
  <c r="M29" i="24"/>
  <c r="M30" i="24"/>
  <c r="O33" i="24"/>
  <c r="O34" i="24"/>
  <c r="D301" i="4" l="1"/>
  <c r="U10" i="11"/>
  <c r="AG201" i="4"/>
  <c r="AG172" i="4"/>
  <c r="AE201" i="4"/>
  <c r="AE172" i="4"/>
  <c r="L161" i="4" l="1"/>
  <c r="L162" i="4"/>
  <c r="L163" i="4"/>
  <c r="L164" i="4"/>
  <c r="L165" i="4"/>
  <c r="L166" i="4"/>
  <c r="L167" i="4"/>
  <c r="L168" i="4"/>
  <c r="L169" i="4"/>
  <c r="L170" i="4"/>
  <c r="L171" i="4"/>
  <c r="L172" i="4"/>
  <c r="L173" i="4"/>
  <c r="L174" i="4"/>
  <c r="L175" i="4"/>
  <c r="L176" i="4"/>
  <c r="L177" i="4"/>
  <c r="L178" i="4"/>
  <c r="L179" i="4"/>
  <c r="L180" i="4"/>
  <c r="L181" i="4"/>
  <c r="L182" i="4"/>
  <c r="L189" i="4"/>
  <c r="L190" i="4"/>
  <c r="L184" i="4"/>
  <c r="L185" i="4"/>
  <c r="L186" i="4"/>
  <c r="L188" i="4"/>
  <c r="L191" i="4"/>
  <c r="L192" i="4"/>
  <c r="L193" i="4"/>
  <c r="L194" i="4"/>
  <c r="L195" i="4"/>
  <c r="L196" i="4"/>
  <c r="L197" i="4"/>
  <c r="L198" i="4"/>
  <c r="L199" i="4"/>
  <c r="L200" i="4"/>
  <c r="L201" i="4"/>
  <c r="L202" i="4"/>
  <c r="L203" i="4"/>
  <c r="L160" i="4"/>
  <c r="C20" i="4" l="1"/>
  <c r="C18" i="4"/>
  <c r="D255" i="4"/>
  <c r="E255" i="4" s="1"/>
  <c r="C16" i="4"/>
  <c r="C17" i="4"/>
  <c r="C21" i="4"/>
  <c r="C22" i="4"/>
  <c r="C23" i="4"/>
  <c r="C24" i="4"/>
  <c r="C25" i="4"/>
  <c r="C26" i="4"/>
  <c r="C30" i="4"/>
  <c r="C31" i="4"/>
  <c r="C32" i="4"/>
  <c r="C33" i="4"/>
  <c r="C34" i="4"/>
  <c r="C35" i="4"/>
  <c r="C36" i="4"/>
  <c r="C37" i="4"/>
  <c r="C38" i="4"/>
  <c r="C15" i="4"/>
  <c r="O32" i="24" l="1"/>
  <c r="AF201" i="4"/>
  <c r="AF172" i="4"/>
  <c r="L85" i="22" l="1"/>
  <c r="M85" i="22"/>
  <c r="D258" i="4"/>
  <c r="E258" i="4" s="1"/>
  <c r="D257" i="4"/>
  <c r="E257" i="4" s="1"/>
  <c r="D256" i="4"/>
  <c r="E256" i="4" s="1"/>
  <c r="D254" i="4"/>
  <c r="E254" i="4" s="1"/>
  <c r="O29" i="24"/>
  <c r="O30" i="24"/>
  <c r="O31" i="24"/>
  <c r="T41" i="24"/>
  <c r="T42" i="24"/>
  <c r="T43" i="24"/>
  <c r="T44" i="24"/>
  <c r="T45" i="24"/>
  <c r="T46" i="24"/>
  <c r="R47" i="24"/>
  <c r="T47" i="24"/>
  <c r="B46" i="30"/>
  <c r="I51" i="4"/>
  <c r="AW195" i="4"/>
  <c r="N195" i="4" a="1"/>
  <c r="N195" i="4" s="1"/>
  <c r="B28" i="29" l="1"/>
  <c r="R6" i="24" l="1"/>
  <c r="R7" i="24"/>
  <c r="R8" i="24"/>
  <c r="R9" i="24"/>
  <c r="R10" i="24"/>
  <c r="J18" i="24"/>
  <c r="R46" i="24"/>
  <c r="J83" i="4"/>
  <c r="B31" i="29"/>
  <c r="B30" i="29"/>
  <c r="S4" i="28"/>
  <c r="S5" i="28"/>
  <c r="S16" i="28"/>
  <c r="S15" i="28"/>
  <c r="S14" i="28"/>
  <c r="S13" i="28"/>
  <c r="S12" i="28"/>
  <c r="S11" i="28"/>
  <c r="S10" i="28"/>
  <c r="S9" i="28"/>
  <c r="S8" i="28"/>
  <c r="S7" i="28"/>
  <c r="S6" i="28"/>
  <c r="K17" i="28"/>
  <c r="O17" i="28" s="1"/>
  <c r="Q17" i="28" s="1"/>
  <c r="K16" i="28"/>
  <c r="O16" i="28" s="1"/>
  <c r="Q16" i="28" s="1"/>
  <c r="K15" i="28"/>
  <c r="O15" i="28" s="1"/>
  <c r="Q15" i="28" s="1"/>
  <c r="K14" i="28"/>
  <c r="O14" i="28" s="1"/>
  <c r="K13" i="28"/>
  <c r="O13" i="28" s="1"/>
  <c r="K12" i="28"/>
  <c r="O12" i="28" s="1"/>
  <c r="K11" i="28"/>
  <c r="O11" i="28" s="1"/>
  <c r="Q11" i="28" s="1"/>
  <c r="K10" i="28"/>
  <c r="O10" i="28" s="1"/>
  <c r="K9" i="28"/>
  <c r="O9" i="28" s="1"/>
  <c r="Q9" i="28" s="1"/>
  <c r="K8" i="28"/>
  <c r="O8" i="28" s="1"/>
  <c r="K7" i="28"/>
  <c r="O7" i="28" s="1"/>
  <c r="Q7" i="28" s="1"/>
  <c r="K6" i="28"/>
  <c r="O6" i="28" s="1"/>
  <c r="P6" i="28" s="1"/>
  <c r="K5" i="28"/>
  <c r="O5" i="28" s="1"/>
  <c r="K4" i="28"/>
  <c r="O4" i="28" s="1"/>
  <c r="P4" i="28" s="1"/>
  <c r="D5" i="28"/>
  <c r="P10" i="28" l="1"/>
  <c r="Q10" i="28"/>
  <c r="P12" i="28"/>
  <c r="Q12" i="28"/>
  <c r="Q14" i="28"/>
  <c r="P14" i="28"/>
  <c r="P13" i="28"/>
  <c r="Q13" i="28"/>
  <c r="Q4" i="28"/>
  <c r="Q5" i="28"/>
  <c r="P5" i="28"/>
  <c r="E5" i="28" s="1"/>
  <c r="Q8" i="28"/>
  <c r="P8" i="28"/>
  <c r="P7" i="28"/>
  <c r="Q6" i="28"/>
  <c r="P9" i="28"/>
  <c r="P15" i="28"/>
  <c r="P16" i="28"/>
  <c r="P11" i="28"/>
  <c r="E11" i="28" s="1"/>
  <c r="D12" i="28" s="1"/>
  <c r="P17" i="28"/>
  <c r="E9" i="28" l="1"/>
  <c r="D10" i="28" s="1"/>
  <c r="E7" i="28"/>
  <c r="D8" i="28" s="1"/>
  <c r="E12" i="28"/>
  <c r="D13" i="28" s="1"/>
  <c r="E6" i="28"/>
  <c r="D7" i="28" s="1"/>
  <c r="D6" i="28"/>
  <c r="B7" i="28"/>
  <c r="E10" i="28"/>
  <c r="D11" i="28" s="1"/>
  <c r="E8" i="28"/>
  <c r="D9" i="28" s="1"/>
  <c r="E13" i="28"/>
  <c r="D14" i="28" s="1"/>
  <c r="AM3" i="4" l="1"/>
  <c r="Y8" i="21"/>
  <c r="C5" i="22"/>
  <c r="C14" i="21"/>
  <c r="C13" i="21"/>
  <c r="I13" i="21"/>
  <c r="L13" i="21"/>
  <c r="D5" i="22"/>
  <c r="F5" i="22" s="1"/>
  <c r="H80" i="4"/>
  <c r="B23" i="30"/>
  <c r="D4" i="28" s="1"/>
  <c r="H216" i="4"/>
  <c r="H218" i="4"/>
  <c r="AB31" i="21" a="1"/>
  <c r="AB31" i="21" s="1"/>
  <c r="AB29" i="21" s="1"/>
  <c r="G5" i="11" s="1"/>
  <c r="AB34" i="21" s="1" a="1"/>
  <c r="AB34" i="21" s="1"/>
  <c r="G240" i="4"/>
  <c r="C245" i="4"/>
  <c r="AD201" i="4"/>
  <c r="AW201" i="4" s="1"/>
  <c r="AD172" i="4"/>
  <c r="AW172" i="4" s="1"/>
  <c r="L7" i="31"/>
  <c r="BG11" i="31"/>
  <c r="AI11" i="31" s="1"/>
  <c r="K11" i="31" s="1"/>
  <c r="B24" i="30"/>
  <c r="C64" i="20" a="1"/>
  <c r="C64" i="20" s="1"/>
  <c r="G25" i="11" s="1"/>
  <c r="C63" i="20" a="1"/>
  <c r="C63" i="20" s="1"/>
  <c r="G24" i="11" s="1"/>
  <c r="C62" i="20" a="1"/>
  <c r="C62" i="20" s="1"/>
  <c r="G23" i="11" s="1"/>
  <c r="B65" i="29"/>
  <c r="B29" i="29"/>
  <c r="B27" i="29"/>
  <c r="D52" i="29" s="1"/>
  <c r="F52" i="29" s="1"/>
  <c r="B26" i="29"/>
  <c r="B25" i="29"/>
  <c r="B24" i="29"/>
  <c r="H5" i="29" a="1"/>
  <c r="H5" i="29" s="1"/>
  <c r="B35" i="29" s="1"/>
  <c r="S110" i="28"/>
  <c r="K110" i="28"/>
  <c r="O110" i="28" s="1"/>
  <c r="S109" i="28"/>
  <c r="K109" i="28"/>
  <c r="O109" i="28" s="1"/>
  <c r="P109" i="28" s="1"/>
  <c r="G109" i="28" s="1"/>
  <c r="F109" i="28" s="1"/>
  <c r="S108" i="28"/>
  <c r="K108" i="28"/>
  <c r="O108" i="28" s="1"/>
  <c r="S107" i="28"/>
  <c r="K107" i="28"/>
  <c r="O107" i="28" s="1"/>
  <c r="S106" i="28"/>
  <c r="K106" i="28"/>
  <c r="O106" i="28" s="1"/>
  <c r="S105" i="28"/>
  <c r="K105" i="28"/>
  <c r="O105" i="28" s="1"/>
  <c r="Q105" i="28" s="1"/>
  <c r="S104" i="28"/>
  <c r="K104" i="28"/>
  <c r="O104" i="28" s="1"/>
  <c r="S103" i="28"/>
  <c r="K103" i="28"/>
  <c r="O103" i="28" s="1"/>
  <c r="S102" i="28"/>
  <c r="K102" i="28"/>
  <c r="O102" i="28" s="1"/>
  <c r="Q102" i="28" s="1"/>
  <c r="S101" i="28"/>
  <c r="K101" i="28"/>
  <c r="O101" i="28" s="1"/>
  <c r="S100" i="28"/>
  <c r="K100" i="28"/>
  <c r="O100" i="28" s="1"/>
  <c r="Q100" i="28" s="1"/>
  <c r="S99" i="28"/>
  <c r="K99" i="28"/>
  <c r="O99" i="28" s="1"/>
  <c r="S98" i="28"/>
  <c r="K98" i="28"/>
  <c r="O98" i="28" s="1"/>
  <c r="S97" i="28"/>
  <c r="K97" i="28"/>
  <c r="O97" i="28" s="1"/>
  <c r="S96" i="28"/>
  <c r="K96" i="28"/>
  <c r="O96" i="28" s="1"/>
  <c r="S95" i="28"/>
  <c r="K95" i="28"/>
  <c r="O95" i="28" s="1"/>
  <c r="S94" i="28"/>
  <c r="K94" i="28"/>
  <c r="O94" i="28" s="1"/>
  <c r="S93" i="28"/>
  <c r="K93" i="28"/>
  <c r="O93" i="28" s="1"/>
  <c r="S92" i="28"/>
  <c r="K92" i="28"/>
  <c r="O92" i="28" s="1"/>
  <c r="S91" i="28"/>
  <c r="K91" i="28"/>
  <c r="O91" i="28" s="1"/>
  <c r="S90" i="28"/>
  <c r="K90" i="28"/>
  <c r="O90" i="28" s="1"/>
  <c r="S89" i="28"/>
  <c r="K89" i="28"/>
  <c r="O89" i="28" s="1"/>
  <c r="S88" i="28"/>
  <c r="K88" i="28"/>
  <c r="O88" i="28" s="1"/>
  <c r="S87" i="28"/>
  <c r="K87" i="28"/>
  <c r="O87" i="28" s="1"/>
  <c r="Q87" i="28" s="1"/>
  <c r="S86" i="28"/>
  <c r="K86" i="28"/>
  <c r="O86" i="28" s="1"/>
  <c r="S85" i="28"/>
  <c r="K85" i="28"/>
  <c r="O85" i="28" s="1"/>
  <c r="S84" i="28"/>
  <c r="K84" i="28"/>
  <c r="O84" i="28" s="1"/>
  <c r="S83" i="28"/>
  <c r="K83" i="28"/>
  <c r="O83" i="28" s="1"/>
  <c r="S82" i="28"/>
  <c r="K82" i="28"/>
  <c r="O82" i="28" s="1"/>
  <c r="S81" i="28"/>
  <c r="K81" i="28"/>
  <c r="O81" i="28" s="1"/>
  <c r="S80" i="28"/>
  <c r="K80" i="28"/>
  <c r="O80" i="28" s="1"/>
  <c r="S79" i="28"/>
  <c r="K79" i="28"/>
  <c r="O79" i="28" s="1"/>
  <c r="S78" i="28"/>
  <c r="K78" i="28"/>
  <c r="O78" i="28" s="1"/>
  <c r="Q78" i="28" s="1"/>
  <c r="S77" i="28"/>
  <c r="K77" i="28"/>
  <c r="O77" i="28" s="1"/>
  <c r="S76" i="28"/>
  <c r="K76" i="28"/>
  <c r="O76" i="28" s="1"/>
  <c r="S75" i="28"/>
  <c r="K75" i="28"/>
  <c r="O75" i="28" s="1"/>
  <c r="S74" i="28"/>
  <c r="K74" i="28"/>
  <c r="O74" i="28" s="1"/>
  <c r="S73" i="28"/>
  <c r="K73" i="28"/>
  <c r="O73" i="28" s="1"/>
  <c r="S72" i="28"/>
  <c r="K72" i="28"/>
  <c r="O72" i="28" s="1"/>
  <c r="Q72" i="28" s="1"/>
  <c r="S71" i="28"/>
  <c r="K71" i="28"/>
  <c r="O71" i="28" s="1"/>
  <c r="S70" i="28"/>
  <c r="K70" i="28"/>
  <c r="O70" i="28" s="1"/>
  <c r="S69" i="28"/>
  <c r="K69" i="28"/>
  <c r="O69" i="28" s="1"/>
  <c r="S68" i="28"/>
  <c r="K68" i="28"/>
  <c r="O68" i="28" s="1"/>
  <c r="S67" i="28"/>
  <c r="K67" i="28"/>
  <c r="O67" i="28" s="1"/>
  <c r="S66" i="28"/>
  <c r="K66" i="28"/>
  <c r="O66" i="28" s="1"/>
  <c r="S65" i="28"/>
  <c r="K65" i="28"/>
  <c r="O65" i="28" s="1"/>
  <c r="Q65" i="28" s="1"/>
  <c r="S64" i="28"/>
  <c r="K64" i="28"/>
  <c r="O64" i="28" s="1"/>
  <c r="S63" i="28"/>
  <c r="K63" i="28"/>
  <c r="O63" i="28" s="1"/>
  <c r="S62" i="28"/>
  <c r="K62" i="28"/>
  <c r="O62" i="28" s="1"/>
  <c r="S61" i="28"/>
  <c r="K61" i="28"/>
  <c r="O61" i="28" s="1"/>
  <c r="Q61" i="28" s="1"/>
  <c r="S60" i="28"/>
  <c r="K60" i="28"/>
  <c r="O60" i="28" s="1"/>
  <c r="S59" i="28"/>
  <c r="K59" i="28"/>
  <c r="O59" i="28" s="1"/>
  <c r="Q59" i="28" s="1"/>
  <c r="S58" i="28"/>
  <c r="K58" i="28"/>
  <c r="O58" i="28" s="1"/>
  <c r="S57" i="28"/>
  <c r="K57" i="28"/>
  <c r="O57" i="28" s="1"/>
  <c r="S56" i="28"/>
  <c r="K56" i="28"/>
  <c r="O56" i="28" s="1"/>
  <c r="S55" i="28"/>
  <c r="K55" i="28"/>
  <c r="O55" i="28" s="1"/>
  <c r="S54" i="28"/>
  <c r="K54" i="28"/>
  <c r="O54" i="28" s="1"/>
  <c r="S53" i="28"/>
  <c r="K53" i="28"/>
  <c r="O53" i="28" s="1"/>
  <c r="S52" i="28"/>
  <c r="K52" i="28"/>
  <c r="O52" i="28" s="1"/>
  <c r="S51" i="28"/>
  <c r="K51" i="28"/>
  <c r="O51" i="28" s="1"/>
  <c r="S50" i="28"/>
  <c r="K50" i="28"/>
  <c r="O50" i="28" s="1"/>
  <c r="S49" i="28"/>
  <c r="K49" i="28"/>
  <c r="O49" i="28" s="1"/>
  <c r="S48" i="28"/>
  <c r="K48" i="28"/>
  <c r="O48" i="28" s="1"/>
  <c r="S47" i="28"/>
  <c r="K47" i="28"/>
  <c r="O47" i="28" s="1"/>
  <c r="S46" i="28"/>
  <c r="K46" i="28"/>
  <c r="O46" i="28" s="1"/>
  <c r="S45" i="28"/>
  <c r="K45" i="28"/>
  <c r="O45" i="28" s="1"/>
  <c r="S44" i="28"/>
  <c r="K44" i="28"/>
  <c r="O44" i="28" s="1"/>
  <c r="S43" i="28"/>
  <c r="K43" i="28"/>
  <c r="O43" i="28" s="1"/>
  <c r="S42" i="28"/>
  <c r="K42" i="28"/>
  <c r="O42" i="28" s="1"/>
  <c r="S41" i="28"/>
  <c r="K41" i="28"/>
  <c r="O41" i="28" s="1"/>
  <c r="S40" i="28"/>
  <c r="K40" i="28"/>
  <c r="O40" i="28" s="1"/>
  <c r="S39" i="28"/>
  <c r="K39" i="28"/>
  <c r="O39" i="28" s="1"/>
  <c r="P39" i="28" s="1"/>
  <c r="S38" i="28"/>
  <c r="K38" i="28"/>
  <c r="O38" i="28" s="1"/>
  <c r="S37" i="28"/>
  <c r="K37" i="28"/>
  <c r="O37" i="28" s="1"/>
  <c r="S36" i="28"/>
  <c r="K36" i="28"/>
  <c r="O36" i="28" s="1"/>
  <c r="S35" i="28"/>
  <c r="K35" i="28"/>
  <c r="O35" i="28" s="1"/>
  <c r="Q35" i="28" s="1"/>
  <c r="S34" i="28"/>
  <c r="K34" i="28"/>
  <c r="O34" i="28" s="1"/>
  <c r="S33" i="28"/>
  <c r="K33" i="28"/>
  <c r="O33" i="28" s="1"/>
  <c r="S32" i="28"/>
  <c r="K32" i="28"/>
  <c r="O32" i="28" s="1"/>
  <c r="S31" i="28"/>
  <c r="K31" i="28"/>
  <c r="O31" i="28" s="1"/>
  <c r="S30" i="28"/>
  <c r="K30" i="28"/>
  <c r="O30" i="28" s="1"/>
  <c r="S29" i="28"/>
  <c r="K29" i="28"/>
  <c r="O29" i="28" s="1"/>
  <c r="S28" i="28"/>
  <c r="K28" i="28"/>
  <c r="O28" i="28" s="1"/>
  <c r="S27" i="28"/>
  <c r="K27" i="28"/>
  <c r="O27" i="28" s="1"/>
  <c r="S26" i="28"/>
  <c r="K26" i="28"/>
  <c r="O26" i="28" s="1"/>
  <c r="S25" i="28"/>
  <c r="K25" i="28"/>
  <c r="O25" i="28" s="1"/>
  <c r="S24" i="28"/>
  <c r="K24" i="28"/>
  <c r="O24" i="28" s="1"/>
  <c r="S23" i="28"/>
  <c r="K23" i="28"/>
  <c r="O23" i="28" s="1"/>
  <c r="S22" i="28"/>
  <c r="K22" i="28"/>
  <c r="O22" i="28" s="1"/>
  <c r="S21" i="28"/>
  <c r="K21" i="28"/>
  <c r="O21" i="28" s="1"/>
  <c r="S20" i="28"/>
  <c r="K20" i="28"/>
  <c r="O20" i="28" s="1"/>
  <c r="S19" i="28"/>
  <c r="K19" i="28"/>
  <c r="O19" i="28" s="1"/>
  <c r="S18" i="28"/>
  <c r="K18" i="28"/>
  <c r="O18" i="28" s="1"/>
  <c r="S17" i="28"/>
  <c r="E32" i="22"/>
  <c r="F32" i="22"/>
  <c r="H32" i="22"/>
  <c r="L32" i="22"/>
  <c r="M32" i="22"/>
  <c r="AE7" i="21"/>
  <c r="H6" i="21"/>
  <c r="AW191" i="4"/>
  <c r="N191" i="4" a="1"/>
  <c r="N191" i="4" s="1"/>
  <c r="I64" i="4"/>
  <c r="L6" i="22"/>
  <c r="L7" i="22"/>
  <c r="L8" i="22"/>
  <c r="L9" i="22"/>
  <c r="L10" i="22"/>
  <c r="L11" i="22"/>
  <c r="L12" i="22"/>
  <c r="L13" i="22"/>
  <c r="L14" i="22"/>
  <c r="L15" i="22"/>
  <c r="L16" i="22"/>
  <c r="L17" i="22"/>
  <c r="L18" i="22"/>
  <c r="L19" i="22"/>
  <c r="L20" i="22"/>
  <c r="L21" i="22"/>
  <c r="L22" i="22"/>
  <c r="L23" i="22"/>
  <c r="L24" i="22"/>
  <c r="L25" i="22"/>
  <c r="L26" i="22"/>
  <c r="L27" i="22"/>
  <c r="L28" i="22"/>
  <c r="L29" i="22"/>
  <c r="L30" i="22"/>
  <c r="L31" i="22"/>
  <c r="L33" i="22"/>
  <c r="L34" i="22"/>
  <c r="L35" i="22"/>
  <c r="L36" i="22"/>
  <c r="L37" i="22"/>
  <c r="L38" i="22"/>
  <c r="L39" i="22"/>
  <c r="L40" i="22"/>
  <c r="L41" i="22"/>
  <c r="L42" i="22"/>
  <c r="L43" i="22"/>
  <c r="L44" i="22"/>
  <c r="L45" i="2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I132" i="4"/>
  <c r="I133" i="4"/>
  <c r="I134" i="4"/>
  <c r="I138" i="4"/>
  <c r="I139" i="4"/>
  <c r="I140" i="4"/>
  <c r="I141" i="4"/>
  <c r="I142" i="4"/>
  <c r="I143" i="4"/>
  <c r="I144" i="4"/>
  <c r="I145" i="4"/>
  <c r="I146" i="4"/>
  <c r="I131" i="4"/>
  <c r="I122" i="4"/>
  <c r="I120" i="4"/>
  <c r="I119" i="4"/>
  <c r="H217" i="4"/>
  <c r="AS182" i="4"/>
  <c r="AW182" i="4" s="1"/>
  <c r="AS181" i="4"/>
  <c r="AW181" i="4" s="1"/>
  <c r="AS180" i="4"/>
  <c r="AW180" i="4" s="1"/>
  <c r="AS186" i="4"/>
  <c r="AW186" i="4" s="1"/>
  <c r="AS185" i="4"/>
  <c r="AW185" i="4" s="1"/>
  <c r="AS184" i="4"/>
  <c r="AW184" i="4" s="1"/>
  <c r="D16" i="11"/>
  <c r="AN143" i="4"/>
  <c r="AN144" i="4"/>
  <c r="F32" i="4"/>
  <c r="L87" i="22"/>
  <c r="L88" i="22"/>
  <c r="L89" i="22"/>
  <c r="L90" i="22"/>
  <c r="L91" i="22"/>
  <c r="B92" i="22"/>
  <c r="L92" i="22" s="1"/>
  <c r="B93" i="22"/>
  <c r="L93" i="22" s="1"/>
  <c r="B94" i="22"/>
  <c r="L94" i="22" s="1"/>
  <c r="B95" i="22"/>
  <c r="L95" i="22" s="1"/>
  <c r="B96" i="22"/>
  <c r="L96" i="22" s="1"/>
  <c r="B97" i="22"/>
  <c r="L97" i="22" s="1"/>
  <c r="B98" i="22"/>
  <c r="L98" i="22" s="1"/>
  <c r="B99" i="22"/>
  <c r="L99" i="22" s="1"/>
  <c r="B100" i="22"/>
  <c r="L100" i="22" s="1"/>
  <c r="L86" i="22"/>
  <c r="C92" i="22"/>
  <c r="D92" i="22"/>
  <c r="E92" i="22"/>
  <c r="F92" i="22"/>
  <c r="C93" i="22"/>
  <c r="D93" i="22"/>
  <c r="E93" i="22"/>
  <c r="F93" i="22"/>
  <c r="C94" i="22"/>
  <c r="D94" i="22"/>
  <c r="E94" i="22"/>
  <c r="F94" i="22"/>
  <c r="C95" i="22"/>
  <c r="D95" i="22"/>
  <c r="E95" i="22"/>
  <c r="F95" i="22"/>
  <c r="C96" i="22"/>
  <c r="D96" i="22"/>
  <c r="E96" i="22"/>
  <c r="F96" i="22"/>
  <c r="C97" i="22"/>
  <c r="D97" i="22"/>
  <c r="E97" i="22"/>
  <c r="F97" i="22"/>
  <c r="C98" i="22"/>
  <c r="D98" i="22"/>
  <c r="E98" i="22"/>
  <c r="F98" i="22"/>
  <c r="C99" i="22"/>
  <c r="D99" i="22"/>
  <c r="E99" i="22"/>
  <c r="F99" i="22"/>
  <c r="C100" i="22"/>
  <c r="D100" i="22"/>
  <c r="E100" i="22"/>
  <c r="F100" i="22"/>
  <c r="M100" i="22"/>
  <c r="M86" i="22"/>
  <c r="M87" i="22"/>
  <c r="M88" i="22"/>
  <c r="M89" i="22"/>
  <c r="M90" i="22"/>
  <c r="M91" i="22"/>
  <c r="M92" i="22"/>
  <c r="M93" i="22"/>
  <c r="M94" i="22"/>
  <c r="M95" i="22"/>
  <c r="M96" i="22"/>
  <c r="M97" i="22"/>
  <c r="M98" i="22"/>
  <c r="M99" i="22"/>
  <c r="I32" i="11"/>
  <c r="E39" i="20"/>
  <c r="C39" i="20" s="1" a="1"/>
  <c r="C39" i="20" s="1"/>
  <c r="K13" i="11" s="1"/>
  <c r="H215" i="4"/>
  <c r="H214" i="4"/>
  <c r="G209" i="4"/>
  <c r="C105" i="20" a="1"/>
  <c r="C105" i="20" s="1"/>
  <c r="M5" i="22"/>
  <c r="M6" i="22"/>
  <c r="M7" i="22"/>
  <c r="M8" i="22"/>
  <c r="M9" i="22"/>
  <c r="M10" i="22"/>
  <c r="M11" i="22"/>
  <c r="M12" i="22"/>
  <c r="M13" i="22"/>
  <c r="M14" i="22"/>
  <c r="M15" i="22"/>
  <c r="M16" i="22"/>
  <c r="M17" i="22"/>
  <c r="M18" i="22"/>
  <c r="M19" i="22"/>
  <c r="M20" i="22"/>
  <c r="M21" i="22"/>
  <c r="M22" i="22"/>
  <c r="M23" i="22"/>
  <c r="M24" i="22"/>
  <c r="M25" i="22"/>
  <c r="M26" i="22"/>
  <c r="M27" i="22"/>
  <c r="M28" i="22"/>
  <c r="M29" i="22"/>
  <c r="M30" i="22"/>
  <c r="M31" i="22"/>
  <c r="M33" i="22"/>
  <c r="M34" i="22"/>
  <c r="M35" i="22"/>
  <c r="M36" i="22"/>
  <c r="M37" i="22"/>
  <c r="M38" i="22"/>
  <c r="M39" i="22"/>
  <c r="M40" i="22"/>
  <c r="M41" i="22"/>
  <c r="M42" i="22"/>
  <c r="M43" i="22"/>
  <c r="M44" i="22"/>
  <c r="M45" i="22"/>
  <c r="M46" i="22"/>
  <c r="M47" i="22"/>
  <c r="M48" i="22"/>
  <c r="M49" i="22"/>
  <c r="M50" i="22"/>
  <c r="M51" i="22"/>
  <c r="M52" i="22"/>
  <c r="M53" i="22"/>
  <c r="M54" i="22"/>
  <c r="M55" i="22"/>
  <c r="M56" i="22"/>
  <c r="M57" i="22"/>
  <c r="M58" i="22"/>
  <c r="M59" i="22"/>
  <c r="M60" i="22"/>
  <c r="M61" i="22"/>
  <c r="M62" i="22"/>
  <c r="M63" i="22"/>
  <c r="M64" i="22"/>
  <c r="M65" i="22"/>
  <c r="M66" i="22"/>
  <c r="M67" i="22"/>
  <c r="M68" i="22"/>
  <c r="M69" i="22"/>
  <c r="M70" i="22"/>
  <c r="M71" i="22"/>
  <c r="M72" i="22"/>
  <c r="M73" i="22"/>
  <c r="M74" i="22"/>
  <c r="M75" i="22"/>
  <c r="M76" i="22"/>
  <c r="M77" i="22"/>
  <c r="M78" i="22"/>
  <c r="M79" i="22"/>
  <c r="M80" i="22"/>
  <c r="M81" i="22"/>
  <c r="M82" i="22"/>
  <c r="M83" i="22"/>
  <c r="M84" i="22"/>
  <c r="M4" i="22"/>
  <c r="E65" i="22"/>
  <c r="F65" i="22"/>
  <c r="E66" i="22"/>
  <c r="F66" i="22"/>
  <c r="E67" i="22"/>
  <c r="F67" i="22"/>
  <c r="E68" i="22"/>
  <c r="F68" i="22"/>
  <c r="E69" i="22"/>
  <c r="F69" i="22"/>
  <c r="E70" i="22"/>
  <c r="F70" i="22"/>
  <c r="H65" i="22"/>
  <c r="H66" i="22"/>
  <c r="H67" i="22"/>
  <c r="H68" i="22"/>
  <c r="H69" i="22"/>
  <c r="H70" i="22"/>
  <c r="H71" i="22"/>
  <c r="H72" i="22"/>
  <c r="H73" i="22"/>
  <c r="H74" i="22"/>
  <c r="H75" i="22"/>
  <c r="H76" i="22"/>
  <c r="H77" i="22"/>
  <c r="H78" i="22"/>
  <c r="H79" i="22"/>
  <c r="H80" i="22"/>
  <c r="H81" i="22"/>
  <c r="J17" i="24"/>
  <c r="H17" i="24"/>
  <c r="J82" i="4"/>
  <c r="J84" i="4"/>
  <c r="J85" i="4"/>
  <c r="J86" i="4"/>
  <c r="J87" i="4"/>
  <c r="J88" i="4"/>
  <c r="J89" i="4"/>
  <c r="J90" i="4"/>
  <c r="J91" i="4"/>
  <c r="E61" i="22"/>
  <c r="F61" i="22"/>
  <c r="E62" i="22"/>
  <c r="F62" i="22"/>
  <c r="E63" i="22"/>
  <c r="F63" i="22"/>
  <c r="E64" i="22"/>
  <c r="F64" i="22"/>
  <c r="H61" i="22"/>
  <c r="H62" i="22"/>
  <c r="H63" i="22"/>
  <c r="H64" i="22"/>
  <c r="K39" i="11"/>
  <c r="O7" i="23"/>
  <c r="K41" i="4"/>
  <c r="C6" i="21"/>
  <c r="C7" i="21" s="1"/>
  <c r="C8" i="21" s="1"/>
  <c r="R44" i="24"/>
  <c r="R45" i="24"/>
  <c r="AW188" i="4"/>
  <c r="AW192" i="4"/>
  <c r="AW193" i="4"/>
  <c r="AW194" i="4"/>
  <c r="AW196" i="4"/>
  <c r="AW197" i="4"/>
  <c r="AW198" i="4"/>
  <c r="AW199" i="4"/>
  <c r="AW200" i="4"/>
  <c r="AW202" i="4"/>
  <c r="AW203" i="4"/>
  <c r="N184" i="4" a="1"/>
  <c r="N184" i="4" s="1"/>
  <c r="N185" i="4" a="1"/>
  <c r="N185" i="4" s="1"/>
  <c r="C104" i="20" a="1"/>
  <c r="C104" i="20" s="1"/>
  <c r="F80" i="4" s="1"/>
  <c r="C103" i="20" a="1"/>
  <c r="C103" i="20" s="1"/>
  <c r="B5" i="22" s="1"/>
  <c r="L5" i="22" s="1"/>
  <c r="C17" i="21"/>
  <c r="C102" i="20" a="1"/>
  <c r="C102" i="20" s="1"/>
  <c r="K26" i="11" s="1"/>
  <c r="N160" i="4" a="1"/>
  <c r="N160" i="4" s="1"/>
  <c r="AW174" i="4"/>
  <c r="AW175" i="4"/>
  <c r="AW176" i="4"/>
  <c r="C98" i="20" a="1"/>
  <c r="C98" i="20" s="1"/>
  <c r="O30" i="23" s="1"/>
  <c r="C99" i="20" a="1"/>
  <c r="C99" i="20" s="1"/>
  <c r="O32" i="23" s="1"/>
  <c r="C100" i="20" a="1"/>
  <c r="C100" i="20" s="1"/>
  <c r="AP30" i="23" s="1"/>
  <c r="C101" i="20" a="1"/>
  <c r="C101" i="20" s="1"/>
  <c r="AP32" i="23" s="1"/>
  <c r="C93" i="20" a="1"/>
  <c r="C93" i="20" s="1"/>
  <c r="C3" i="23" s="1"/>
  <c r="C94" i="20" a="1"/>
  <c r="C94" i="20" s="1"/>
  <c r="D4" i="23" s="1"/>
  <c r="C95" i="20" a="1"/>
  <c r="C95" i="20" s="1"/>
  <c r="D5" i="23" s="1"/>
  <c r="C96" i="20" a="1"/>
  <c r="C96" i="20" s="1"/>
  <c r="D6" i="23" s="1"/>
  <c r="C97" i="20" a="1"/>
  <c r="C97" i="20" s="1"/>
  <c r="D7" i="23" s="1"/>
  <c r="T7" i="24"/>
  <c r="T8" i="24"/>
  <c r="T9" i="24"/>
  <c r="T10" i="24"/>
  <c r="T11" i="24"/>
  <c r="T12" i="24"/>
  <c r="T13" i="24"/>
  <c r="T14" i="24"/>
  <c r="T15" i="24"/>
  <c r="T16" i="24"/>
  <c r="T17" i="24"/>
  <c r="T18" i="24"/>
  <c r="T19" i="24"/>
  <c r="T20" i="24"/>
  <c r="T21" i="24"/>
  <c r="T22" i="24"/>
  <c r="T23" i="24"/>
  <c r="T24" i="24"/>
  <c r="T25" i="24"/>
  <c r="T26" i="24"/>
  <c r="T27" i="24"/>
  <c r="T28" i="24"/>
  <c r="T29" i="24"/>
  <c r="T30" i="24"/>
  <c r="T31" i="24"/>
  <c r="T32" i="24"/>
  <c r="T33" i="24"/>
  <c r="T34" i="24"/>
  <c r="T35" i="24"/>
  <c r="T36" i="24"/>
  <c r="T37" i="24"/>
  <c r="T38" i="24"/>
  <c r="T39" i="24"/>
  <c r="T40" i="24"/>
  <c r="J7" i="24"/>
  <c r="J8" i="24"/>
  <c r="J9" i="24"/>
  <c r="J10" i="24"/>
  <c r="J11" i="24"/>
  <c r="J12" i="24"/>
  <c r="J13" i="24"/>
  <c r="J14" i="24"/>
  <c r="J15" i="24"/>
  <c r="J16" i="24"/>
  <c r="O7" i="24"/>
  <c r="O8" i="24"/>
  <c r="O9" i="24"/>
  <c r="O10" i="24"/>
  <c r="O11" i="24"/>
  <c r="O12" i="24"/>
  <c r="O13" i="24"/>
  <c r="O14" i="24"/>
  <c r="O15" i="24"/>
  <c r="O16" i="24"/>
  <c r="O17" i="24"/>
  <c r="O18" i="24"/>
  <c r="O19" i="24"/>
  <c r="O20" i="24"/>
  <c r="O21" i="24"/>
  <c r="O22" i="24"/>
  <c r="O23" i="24"/>
  <c r="O24" i="24"/>
  <c r="O25" i="24"/>
  <c r="O26" i="24"/>
  <c r="O27" i="24"/>
  <c r="O28" i="24"/>
  <c r="C68" i="20" a="1"/>
  <c r="C68" i="20" s="1"/>
  <c r="Q5" i="24" s="1" a="1"/>
  <c r="Q5" i="24" s="1"/>
  <c r="R27" i="24"/>
  <c r="R28" i="24"/>
  <c r="R29" i="24"/>
  <c r="R30" i="24"/>
  <c r="R31" i="24"/>
  <c r="R32" i="24"/>
  <c r="R33" i="24"/>
  <c r="R34" i="24"/>
  <c r="R35" i="24"/>
  <c r="R36" i="24"/>
  <c r="R37" i="24"/>
  <c r="R38" i="24"/>
  <c r="R39" i="24"/>
  <c r="R40" i="24"/>
  <c r="R41" i="24"/>
  <c r="R42" i="24"/>
  <c r="R43" i="24"/>
  <c r="Q6" i="24" a="1"/>
  <c r="Q6" i="24" s="1"/>
  <c r="R26" i="24"/>
  <c r="R25" i="24"/>
  <c r="R24" i="24"/>
  <c r="R23" i="24"/>
  <c r="R22" i="24"/>
  <c r="R21" i="24"/>
  <c r="R20" i="24"/>
  <c r="R19" i="24"/>
  <c r="R18" i="24"/>
  <c r="R17" i="24"/>
  <c r="R16" i="24"/>
  <c r="R15" i="24"/>
  <c r="R14" i="24"/>
  <c r="R13" i="24"/>
  <c r="R12" i="24"/>
  <c r="R11" i="24"/>
  <c r="T6" i="24"/>
  <c r="I96" i="4"/>
  <c r="C92" i="20" a="1"/>
  <c r="C92" i="20" s="1"/>
  <c r="N175" i="4" a="1"/>
  <c r="N175" i="4" s="1"/>
  <c r="N174" i="4" a="1"/>
  <c r="N174" i="4" s="1"/>
  <c r="N176" i="4" a="1"/>
  <c r="N176" i="4" s="1"/>
  <c r="C74" i="20" a="1"/>
  <c r="C74" i="20" s="1"/>
  <c r="C19" i="11" s="1"/>
  <c r="C75" i="20" a="1"/>
  <c r="C75" i="20" s="1"/>
  <c r="C20" i="11" s="1"/>
  <c r="C87" i="20" a="1"/>
  <c r="C87" i="20" s="1"/>
  <c r="J80" i="4"/>
  <c r="J81" i="4"/>
  <c r="N188" i="4" a="1"/>
  <c r="N188" i="4" s="1"/>
  <c r="N202" i="4" a="1"/>
  <c r="N202" i="4" s="1"/>
  <c r="C91" i="20" a="1"/>
  <c r="C91" i="20" s="1"/>
  <c r="H7" i="24"/>
  <c r="H8" i="24"/>
  <c r="H9" i="24"/>
  <c r="H10" i="24"/>
  <c r="H11" i="24"/>
  <c r="H12" i="24"/>
  <c r="H13" i="24"/>
  <c r="H14" i="24"/>
  <c r="H15" i="24"/>
  <c r="H16" i="24"/>
  <c r="M7" i="24"/>
  <c r="M8" i="24"/>
  <c r="M9" i="24"/>
  <c r="M10" i="24"/>
  <c r="M11" i="24"/>
  <c r="M12" i="24"/>
  <c r="M13" i="24"/>
  <c r="M6" i="24"/>
  <c r="H6" i="24"/>
  <c r="C7" i="24"/>
  <c r="C8" i="24"/>
  <c r="C9" i="24"/>
  <c r="C10" i="24"/>
  <c r="C11" i="24"/>
  <c r="C12" i="24"/>
  <c r="C13" i="24"/>
  <c r="C14" i="24"/>
  <c r="C15" i="24"/>
  <c r="C16" i="24"/>
  <c r="C17" i="24"/>
  <c r="C18" i="24"/>
  <c r="C19" i="24"/>
  <c r="C20" i="24"/>
  <c r="C21" i="24"/>
  <c r="C22" i="24"/>
  <c r="C23" i="24"/>
  <c r="C24" i="24"/>
  <c r="C25" i="24"/>
  <c r="C26" i="24"/>
  <c r="C27" i="24"/>
  <c r="C28" i="24"/>
  <c r="C6" i="24"/>
  <c r="H8" i="22"/>
  <c r="H10" i="22"/>
  <c r="H11" i="22"/>
  <c r="H9" i="22"/>
  <c r="H15" i="22"/>
  <c r="H16" i="22"/>
  <c r="H6" i="22"/>
  <c r="H7" i="22"/>
  <c r="H13" i="22"/>
  <c r="H17" i="22"/>
  <c r="H56" i="22"/>
  <c r="H14" i="22"/>
  <c r="H47" i="22"/>
  <c r="H48" i="22"/>
  <c r="H42" i="22"/>
  <c r="H28" i="22"/>
  <c r="H19" i="22"/>
  <c r="H20" i="22"/>
  <c r="H18" i="22"/>
  <c r="H21" i="22"/>
  <c r="H40" i="22"/>
  <c r="H39" i="22"/>
  <c r="H52" i="22"/>
  <c r="H55" i="22"/>
  <c r="H41" i="22"/>
  <c r="H53" i="22"/>
  <c r="H43" i="22"/>
  <c r="H26" i="22"/>
  <c r="H50" i="22"/>
  <c r="H27" i="22"/>
  <c r="H54" i="22"/>
  <c r="H57" i="22"/>
  <c r="H44" i="22"/>
  <c r="H51" i="22"/>
  <c r="H58" i="22"/>
  <c r="H49" i="22"/>
  <c r="H46" i="22"/>
  <c r="H22" i="22"/>
  <c r="H23" i="22"/>
  <c r="H59" i="22"/>
  <c r="H38" i="22"/>
  <c r="H33" i="22"/>
  <c r="H37" i="22"/>
  <c r="H29" i="22"/>
  <c r="H36" i="22"/>
  <c r="H35" i="22"/>
  <c r="H34" i="22"/>
  <c r="H25" i="22"/>
  <c r="H24" i="22"/>
  <c r="H31" i="22"/>
  <c r="H30" i="22"/>
  <c r="H45" i="22"/>
  <c r="H60" i="22"/>
  <c r="H12" i="22"/>
  <c r="C60" i="20" a="1"/>
  <c r="C60" i="20" s="1"/>
  <c r="C61" i="20" a="1"/>
  <c r="C61" i="20" s="1"/>
  <c r="B4" i="22" s="1"/>
  <c r="C17" i="20" a="1"/>
  <c r="C17" i="20" s="1"/>
  <c r="G10" i="11" s="1" a="1"/>
  <c r="G10" i="11" s="1"/>
  <c r="O6" i="24"/>
  <c r="J6" i="24"/>
  <c r="B6" i="24" a="1"/>
  <c r="B6" i="24" s="1"/>
  <c r="X61" i="25"/>
  <c r="X60" i="25"/>
  <c r="X59" i="25"/>
  <c r="X57" i="25"/>
  <c r="E7" i="24"/>
  <c r="E8" i="24"/>
  <c r="E9" i="24"/>
  <c r="E10" i="24"/>
  <c r="E11" i="24"/>
  <c r="E12" i="24"/>
  <c r="E13" i="24"/>
  <c r="E14" i="24"/>
  <c r="E15" i="24"/>
  <c r="E16" i="24"/>
  <c r="E17" i="24"/>
  <c r="E18" i="24"/>
  <c r="E19" i="24"/>
  <c r="E20" i="24"/>
  <c r="E21" i="24"/>
  <c r="E22" i="24"/>
  <c r="E23" i="24"/>
  <c r="E24" i="24"/>
  <c r="E25" i="24"/>
  <c r="E26" i="24"/>
  <c r="E27" i="24"/>
  <c r="E28" i="24"/>
  <c r="E6" i="24"/>
  <c r="Y54" i="21"/>
  <c r="Y55" i="21" s="1"/>
  <c r="R117" i="4"/>
  <c r="C70" i="20" a="1"/>
  <c r="C70" i="20" s="1"/>
  <c r="C71" i="20" a="1"/>
  <c r="C71" i="20" s="1"/>
  <c r="L7" i="23" s="1"/>
  <c r="C72" i="20" a="1"/>
  <c r="C72" i="20" s="1"/>
  <c r="C73" i="20" a="1"/>
  <c r="C73" i="20" s="1"/>
  <c r="G11" i="11" s="1" a="1"/>
  <c r="G11" i="11" s="1"/>
  <c r="C76" i="20" a="1"/>
  <c r="C76" i="20" s="1"/>
  <c r="AM3" i="21" s="1"/>
  <c r="C8" i="20" a="1"/>
  <c r="C8" i="20" s="1"/>
  <c r="C9" i="20" a="1"/>
  <c r="C9" i="20" s="1"/>
  <c r="C10" i="20" a="1"/>
  <c r="C10" i="20" s="1"/>
  <c r="L3" i="23" s="1"/>
  <c r="C12" i="20" a="1"/>
  <c r="C12" i="20" s="1"/>
  <c r="C11" i="20" a="1"/>
  <c r="C11" i="20" s="1"/>
  <c r="C78" i="20" a="1"/>
  <c r="C78" i="20" s="1"/>
  <c r="C79" i="20" a="1"/>
  <c r="C79" i="20" s="1"/>
  <c r="C80" i="20" a="1"/>
  <c r="C80" i="20" s="1"/>
  <c r="C81" i="20" a="1"/>
  <c r="C81" i="20" s="1"/>
  <c r="C82" i="20" a="1"/>
  <c r="C82" i="20" s="1"/>
  <c r="C83" i="20" a="1"/>
  <c r="C83" i="20" s="1"/>
  <c r="C84" i="20" a="1"/>
  <c r="C84" i="20" s="1"/>
  <c r="C85" i="20" a="1"/>
  <c r="C85" i="20" s="1"/>
  <c r="C86" i="20" a="1"/>
  <c r="C86" i="20" s="1"/>
  <c r="B2" i="24" s="1"/>
  <c r="C88" i="20" a="1"/>
  <c r="C88" i="20" s="1"/>
  <c r="C89" i="20" a="1"/>
  <c r="C89" i="20" s="1"/>
  <c r="C90" i="20" a="1"/>
  <c r="C90" i="20" s="1"/>
  <c r="C23" i="11" s="1"/>
  <c r="C69" i="20" a="1"/>
  <c r="C69" i="20" s="1"/>
  <c r="C77" i="20" a="1"/>
  <c r="C77" i="20" s="1"/>
  <c r="AM4" i="21" s="1"/>
  <c r="C67" i="20" a="1"/>
  <c r="C67" i="20" s="1"/>
  <c r="C59" i="20" a="1"/>
  <c r="C59" i="20" s="1"/>
  <c r="C58" i="20" a="1"/>
  <c r="C58" i="20" s="1"/>
  <c r="O8" i="23" s="1"/>
  <c r="L6" i="24" a="1"/>
  <c r="L6" i="24" s="1"/>
  <c r="E5" i="22"/>
  <c r="F16" i="4"/>
  <c r="F17" i="4"/>
  <c r="F18" i="4"/>
  <c r="F20" i="4"/>
  <c r="F21" i="4"/>
  <c r="F22" i="4"/>
  <c r="F23" i="4"/>
  <c r="F24" i="4"/>
  <c r="F25" i="4"/>
  <c r="F26" i="4"/>
  <c r="F27" i="4"/>
  <c r="F28" i="4"/>
  <c r="F29" i="4"/>
  <c r="F30" i="4"/>
  <c r="F31" i="4"/>
  <c r="F33" i="4"/>
  <c r="F34" i="4"/>
  <c r="F35" i="4"/>
  <c r="F36" i="4"/>
  <c r="F37" i="4"/>
  <c r="F38" i="4"/>
  <c r="F15" i="4"/>
  <c r="E12" i="22"/>
  <c r="F12" i="22"/>
  <c r="E8" i="22"/>
  <c r="F8" i="22"/>
  <c r="E10" i="22"/>
  <c r="F10" i="22"/>
  <c r="E11" i="22"/>
  <c r="F11" i="22"/>
  <c r="E9" i="22"/>
  <c r="F9" i="22"/>
  <c r="E15" i="22"/>
  <c r="F15" i="22"/>
  <c r="E16" i="22"/>
  <c r="F16" i="22"/>
  <c r="E6" i="22"/>
  <c r="F6" i="22"/>
  <c r="E7" i="22"/>
  <c r="F7" i="22"/>
  <c r="E13" i="22"/>
  <c r="F13" i="22"/>
  <c r="E17" i="22"/>
  <c r="F17" i="22"/>
  <c r="E56" i="22"/>
  <c r="F56" i="22"/>
  <c r="E14" i="22"/>
  <c r="F14" i="22"/>
  <c r="E47" i="22"/>
  <c r="F47" i="22"/>
  <c r="E48" i="22"/>
  <c r="F48" i="22"/>
  <c r="E42" i="22"/>
  <c r="F42" i="22"/>
  <c r="E28" i="22"/>
  <c r="F28" i="22"/>
  <c r="E19" i="22"/>
  <c r="F19" i="22"/>
  <c r="E20" i="22"/>
  <c r="F20" i="22"/>
  <c r="E18" i="22"/>
  <c r="F18" i="22"/>
  <c r="E21" i="22"/>
  <c r="F21" i="22"/>
  <c r="E40" i="22"/>
  <c r="F40" i="22"/>
  <c r="E39" i="22"/>
  <c r="F39" i="22"/>
  <c r="E52" i="22"/>
  <c r="F52" i="22"/>
  <c r="E55" i="22"/>
  <c r="F55" i="22"/>
  <c r="E41" i="22"/>
  <c r="F41" i="22"/>
  <c r="E53" i="22"/>
  <c r="F53" i="22"/>
  <c r="E43" i="22"/>
  <c r="F43" i="22"/>
  <c r="E26" i="22"/>
  <c r="F26" i="22"/>
  <c r="E50" i="22"/>
  <c r="F50" i="22"/>
  <c r="E27" i="22"/>
  <c r="F27" i="22"/>
  <c r="E54" i="22"/>
  <c r="F54" i="22"/>
  <c r="E57" i="22"/>
  <c r="F57" i="22"/>
  <c r="E44" i="22"/>
  <c r="F44" i="22"/>
  <c r="E51" i="22"/>
  <c r="F51" i="22"/>
  <c r="E58" i="22"/>
  <c r="F58" i="22"/>
  <c r="E49" i="22"/>
  <c r="F49" i="22"/>
  <c r="E46" i="22"/>
  <c r="F46" i="22"/>
  <c r="E22" i="22"/>
  <c r="F22" i="22"/>
  <c r="E23" i="22"/>
  <c r="F23" i="22"/>
  <c r="E59" i="22"/>
  <c r="F59" i="22"/>
  <c r="E38" i="22"/>
  <c r="F38" i="22"/>
  <c r="E33" i="22"/>
  <c r="F33" i="22"/>
  <c r="E37" i="22"/>
  <c r="F37" i="22"/>
  <c r="E29" i="22"/>
  <c r="F29" i="22"/>
  <c r="E36" i="22"/>
  <c r="F36" i="22"/>
  <c r="E35" i="22"/>
  <c r="F35" i="22"/>
  <c r="E34" i="22"/>
  <c r="F34" i="22"/>
  <c r="E25" i="22"/>
  <c r="F25" i="22"/>
  <c r="E24" i="22"/>
  <c r="F24" i="22"/>
  <c r="E31" i="22"/>
  <c r="F31" i="22"/>
  <c r="E30" i="22"/>
  <c r="F30" i="22"/>
  <c r="E45" i="22"/>
  <c r="F45" i="22"/>
  <c r="E60" i="22"/>
  <c r="F60" i="22"/>
  <c r="E4" i="22"/>
  <c r="F4" i="22"/>
  <c r="AW161" i="4"/>
  <c r="AW162" i="4"/>
  <c r="AW163" i="4"/>
  <c r="AW164" i="4"/>
  <c r="AW165" i="4"/>
  <c r="AW166" i="4"/>
  <c r="AW167" i="4"/>
  <c r="AW168" i="4"/>
  <c r="AW169" i="4"/>
  <c r="AW170" i="4"/>
  <c r="AW171" i="4"/>
  <c r="AW177" i="4"/>
  <c r="AW178" i="4"/>
  <c r="AW179" i="4"/>
  <c r="AW189" i="4"/>
  <c r="AW190" i="4"/>
  <c r="AW160" i="4"/>
  <c r="C4" i="21"/>
  <c r="C47" i="20" a="1"/>
  <c r="C47" i="20" s="1"/>
  <c r="C48" i="20" a="1"/>
  <c r="C48" i="20" s="1"/>
  <c r="C9" i="11" s="1"/>
  <c r="C49" i="20" a="1"/>
  <c r="C49" i="20" s="1"/>
  <c r="Q7" i="11" s="1"/>
  <c r="C50" i="20" a="1"/>
  <c r="C50" i="20" s="1"/>
  <c r="C8" i="11" s="1"/>
  <c r="C51" i="20" a="1"/>
  <c r="C51" i="20" s="1"/>
  <c r="L5" i="11" s="1"/>
  <c r="C52" i="20" a="1"/>
  <c r="C52" i="20" s="1"/>
  <c r="K7" i="11" s="1"/>
  <c r="C53" i="20" a="1"/>
  <c r="C53" i="20" s="1"/>
  <c r="C7" i="11" s="1"/>
  <c r="C54" i="20" a="1"/>
  <c r="C54" i="20" s="1"/>
  <c r="C55" i="20" a="1"/>
  <c r="C55" i="20" s="1"/>
  <c r="I63" i="4"/>
  <c r="I129" i="4" s="1"/>
  <c r="I62" i="4"/>
  <c r="N199" i="4" a="1"/>
  <c r="N199" i="4" s="1"/>
  <c r="N178" i="4" a="1"/>
  <c r="N178" i="4" s="1"/>
  <c r="C3" i="20" a="1"/>
  <c r="C3" i="20" s="1"/>
  <c r="N171" i="4" a="1"/>
  <c r="N171" i="4" s="1"/>
  <c r="N173" i="4" a="1"/>
  <c r="N173" i="4" s="1"/>
  <c r="N161" i="4" a="1"/>
  <c r="N161" i="4" s="1"/>
  <c r="N162" i="4" a="1"/>
  <c r="N162" i="4" s="1"/>
  <c r="N177" i="4" a="1"/>
  <c r="N177" i="4" s="1"/>
  <c r="N179" i="4" a="1"/>
  <c r="N179" i="4" s="1"/>
  <c r="N163" i="4" a="1"/>
  <c r="N163" i="4" s="1"/>
  <c r="N181" i="4" a="1"/>
  <c r="N181" i="4" s="1"/>
  <c r="N189" i="4" a="1"/>
  <c r="N189" i="4" s="1"/>
  <c r="N190" i="4" a="1"/>
  <c r="N190" i="4" s="1"/>
  <c r="N164" i="4" a="1"/>
  <c r="N164" i="4" s="1"/>
  <c r="N165" i="4" a="1"/>
  <c r="N165" i="4" s="1"/>
  <c r="N166" i="4" a="1"/>
  <c r="N166" i="4" s="1"/>
  <c r="N167" i="4" a="1"/>
  <c r="N167" i="4" s="1"/>
  <c r="N168" i="4" a="1"/>
  <c r="N168" i="4" s="1"/>
  <c r="N169" i="4" a="1"/>
  <c r="N169" i="4" s="1"/>
  <c r="N170" i="4" a="1"/>
  <c r="N170" i="4" s="1"/>
  <c r="N192" i="4" a="1"/>
  <c r="N192" i="4" s="1"/>
  <c r="N193" i="4" a="1"/>
  <c r="N193" i="4" s="1"/>
  <c r="N194" i="4" a="1"/>
  <c r="N194" i="4" s="1"/>
  <c r="N196" i="4" a="1"/>
  <c r="N196" i="4" s="1"/>
  <c r="N197" i="4" a="1"/>
  <c r="N197" i="4" s="1"/>
  <c r="N198" i="4" a="1"/>
  <c r="N198" i="4" s="1"/>
  <c r="N200" i="4" a="1"/>
  <c r="N200" i="4" s="1"/>
  <c r="N203" i="4" a="1"/>
  <c r="N203" i="4" s="1"/>
  <c r="C20" i="20" a="1"/>
  <c r="C20" i="20" s="1"/>
  <c r="G16" i="11" s="1"/>
  <c r="C21" i="20" a="1"/>
  <c r="C21" i="20" s="1"/>
  <c r="G17" i="11" s="1"/>
  <c r="C22" i="20" a="1"/>
  <c r="C22" i="20" s="1"/>
  <c r="G26" i="11" s="1"/>
  <c r="C23" i="20" a="1"/>
  <c r="C23" i="20" s="1"/>
  <c r="G18" i="11" s="1"/>
  <c r="C24" i="20" a="1"/>
  <c r="C24" i="20" s="1"/>
  <c r="G19" i="11" s="1"/>
  <c r="C25" i="20" a="1"/>
  <c r="C25" i="20" s="1"/>
  <c r="G20" i="11" s="1"/>
  <c r="C26" i="20" a="1"/>
  <c r="C26" i="20" s="1"/>
  <c r="G21" i="11" s="1"/>
  <c r="C27" i="20" a="1"/>
  <c r="C27" i="20" s="1"/>
  <c r="G22" i="11" s="1"/>
  <c r="C28" i="20" a="1"/>
  <c r="C28" i="20" s="1"/>
  <c r="C29" i="20" a="1"/>
  <c r="C29" i="20" s="1"/>
  <c r="K21" i="11" s="1"/>
  <c r="C30" i="20" a="1"/>
  <c r="C30" i="20" s="1"/>
  <c r="C31" i="20" a="1"/>
  <c r="C31" i="20" s="1"/>
  <c r="C32" i="20" a="1"/>
  <c r="C32" i="20" s="1"/>
  <c r="C33" i="20" a="1"/>
  <c r="C33" i="20" s="1"/>
  <c r="C34" i="20" a="1"/>
  <c r="C34" i="20" s="1"/>
  <c r="K8" i="11" s="1"/>
  <c r="C35" i="20" a="1"/>
  <c r="C35" i="20" s="1"/>
  <c r="K20" i="11" s="1"/>
  <c r="C36" i="20" a="1"/>
  <c r="C36" i="20" s="1"/>
  <c r="C37" i="20" a="1"/>
  <c r="C37" i="20" s="1"/>
  <c r="C38" i="20" a="1"/>
  <c r="C38" i="20" s="1"/>
  <c r="C40" i="20" a="1"/>
  <c r="C40" i="20" s="1"/>
  <c r="K22" i="11" s="1"/>
  <c r="C41" i="20" a="1"/>
  <c r="C41" i="20" s="1"/>
  <c r="K9" i="11" s="1"/>
  <c r="C42" i="20" a="1"/>
  <c r="C42" i="20" s="1"/>
  <c r="K16" i="11" s="1"/>
  <c r="C43" i="20" a="1"/>
  <c r="C43" i="20" s="1"/>
  <c r="K17" i="11" s="1"/>
  <c r="C44" i="20" a="1"/>
  <c r="C44" i="20" s="1"/>
  <c r="K18" i="11" s="1"/>
  <c r="C45" i="20" a="1"/>
  <c r="C45" i="20" s="1"/>
  <c r="K19" i="11" s="1"/>
  <c r="C46" i="20" a="1"/>
  <c r="C46" i="20" s="1"/>
  <c r="C56" i="20" a="1"/>
  <c r="C56" i="20" s="1"/>
  <c r="C66" i="20" a="1"/>
  <c r="C66" i="20" s="1"/>
  <c r="Y88" i="21"/>
  <c r="Y89" i="21" s="1"/>
  <c r="L26" i="11" s="1"/>
  <c r="X87" i="21"/>
  <c r="C5" i="20" a="1"/>
  <c r="C5" i="20" s="1"/>
  <c r="C16" i="11" s="1"/>
  <c r="C6" i="20" a="1"/>
  <c r="C6" i="20" s="1"/>
  <c r="C17" i="11" s="1"/>
  <c r="C7" i="20" a="1"/>
  <c r="C7" i="20" s="1"/>
  <c r="C18" i="11" s="1"/>
  <c r="C13" i="20" a="1"/>
  <c r="C13" i="20" s="1"/>
  <c r="C13" i="11" s="1"/>
  <c r="C14" i="20" a="1"/>
  <c r="C14" i="20" s="1"/>
  <c r="C14" i="11" s="1"/>
  <c r="C15" i="20" a="1"/>
  <c r="C15" i="20" s="1"/>
  <c r="G8" i="11" s="1"/>
  <c r="C16" i="20" a="1"/>
  <c r="C16" i="20" s="1"/>
  <c r="G9" i="11" s="1"/>
  <c r="C18" i="20" a="1"/>
  <c r="C18" i="20" s="1"/>
  <c r="G13" i="11" s="1"/>
  <c r="C19" i="20" a="1"/>
  <c r="C19" i="20" s="1"/>
  <c r="G14" i="11" s="1"/>
  <c r="C4" i="20" a="1"/>
  <c r="C4" i="20" s="1"/>
  <c r="L114" i="4"/>
  <c r="AL12" i="23"/>
  <c r="AL13" i="23" s="1"/>
  <c r="AM11" i="23"/>
  <c r="AN11" i="23" s="1"/>
  <c r="X72" i="21"/>
  <c r="E12" i="4"/>
  <c r="C12" i="4"/>
  <c r="C12" i="23"/>
  <c r="C13" i="23" s="1"/>
  <c r="K12" i="23"/>
  <c r="AG12" i="23" s="1"/>
  <c r="L11" i="23"/>
  <c r="L28" i="23" s="1"/>
  <c r="AE4" i="21"/>
  <c r="AH18" i="21"/>
  <c r="X66" i="21" a="1"/>
  <c r="X66" i="21" s="1"/>
  <c r="Y62" i="21"/>
  <c r="Y61" i="21"/>
  <c r="Y60" i="21"/>
  <c r="Y59" i="21"/>
  <c r="X58" i="21"/>
  <c r="Y52" i="21"/>
  <c r="Y51" i="21"/>
  <c r="P8" i="5" s="1"/>
  <c r="X45" i="21"/>
  <c r="X37" i="21"/>
  <c r="X27" i="21"/>
  <c r="Y14" i="21"/>
  <c r="Y12" i="21"/>
  <c r="Y11" i="21"/>
  <c r="Y9" i="21"/>
  <c r="X7" i="21"/>
  <c r="H6" i="4"/>
  <c r="L35" i="4" s="1"/>
  <c r="I52" i="4"/>
  <c r="I57" i="4"/>
  <c r="I58" i="4"/>
  <c r="I59" i="4"/>
  <c r="I60" i="4"/>
  <c r="I61" i="4"/>
  <c r="I45" i="4"/>
  <c r="I46" i="4"/>
  <c r="I47" i="4"/>
  <c r="I118" i="4" s="1"/>
  <c r="I48" i="4"/>
  <c r="I50" i="4"/>
  <c r="I49" i="4"/>
  <c r="H5" i="4"/>
  <c r="R6" i="5"/>
  <c r="T4" i="23"/>
  <c r="Z48" i="21"/>
  <c r="D4" i="21"/>
  <c r="T3" i="23"/>
  <c r="J49" i="21"/>
  <c r="D50" i="21"/>
  <c r="M49" i="21"/>
  <c r="D49" i="21"/>
  <c r="O117" i="4" l="1"/>
  <c r="J102" i="4"/>
  <c r="J100" i="4"/>
  <c r="J103" i="4"/>
  <c r="J101" i="4"/>
  <c r="J104" i="4"/>
  <c r="J106" i="4"/>
  <c r="J105" i="4"/>
  <c r="O125" i="4"/>
  <c r="O126" i="4"/>
  <c r="O127" i="4"/>
  <c r="O128" i="4"/>
  <c r="O130" i="4"/>
  <c r="I130" i="4"/>
  <c r="M130" i="4"/>
  <c r="J85" i="22"/>
  <c r="J90" i="22"/>
  <c r="J89" i="22"/>
  <c r="J91" i="22"/>
  <c r="P38" i="4"/>
  <c r="O118" i="4"/>
  <c r="O143" i="4"/>
  <c r="O119" i="4"/>
  <c r="O144" i="4"/>
  <c r="O120" i="4"/>
  <c r="O145" i="4"/>
  <c r="O122" i="4"/>
  <c r="O124" i="4"/>
  <c r="O135" i="4"/>
  <c r="O136" i="4"/>
  <c r="O121" i="4"/>
  <c r="O146" i="4"/>
  <c r="O123" i="4"/>
  <c r="O134" i="4"/>
  <c r="O137" i="4"/>
  <c r="O129" i="4"/>
  <c r="O131" i="4"/>
  <c r="O132" i="4"/>
  <c r="O133" i="4"/>
  <c r="O138" i="4"/>
  <c r="O140" i="4"/>
  <c r="O141" i="4"/>
  <c r="O142" i="4"/>
  <c r="O139" i="4"/>
  <c r="P19" i="4"/>
  <c r="P22" i="4"/>
  <c r="P18" i="4"/>
  <c r="P27" i="4"/>
  <c r="P29" i="4"/>
  <c r="P28" i="4"/>
  <c r="P37" i="4"/>
  <c r="P32" i="4"/>
  <c r="P36" i="4"/>
  <c r="P34" i="4"/>
  <c r="P33" i="4"/>
  <c r="P31" i="4"/>
  <c r="P30" i="4"/>
  <c r="P26" i="4"/>
  <c r="P25" i="4"/>
  <c r="P21" i="4"/>
  <c r="P17" i="4"/>
  <c r="P35" i="4"/>
  <c r="P24" i="4"/>
  <c r="P20" i="4"/>
  <c r="P16" i="4"/>
  <c r="P23" i="4"/>
  <c r="AW173" i="4"/>
  <c r="L20" i="4"/>
  <c r="L19" i="4"/>
  <c r="C25" i="11"/>
  <c r="Y33" i="21"/>
  <c r="Y23" i="21"/>
  <c r="T13" i="21"/>
  <c r="J88" i="22"/>
  <c r="J87" i="22"/>
  <c r="J86" i="22"/>
  <c r="O49" i="21"/>
  <c r="T12" i="21"/>
  <c r="R49" i="21"/>
  <c r="B9" i="29"/>
  <c r="K183" i="4"/>
  <c r="P15" i="4"/>
  <c r="K161" i="4"/>
  <c r="K181" i="4"/>
  <c r="K202" i="4"/>
  <c r="K162" i="4"/>
  <c r="K203" i="4"/>
  <c r="K163" i="4"/>
  <c r="K189" i="4"/>
  <c r="K160" i="4"/>
  <c r="K185" i="4"/>
  <c r="K186" i="4"/>
  <c r="K182" i="4"/>
  <c r="K164" i="4"/>
  <c r="K190" i="4"/>
  <c r="K165" i="4"/>
  <c r="K184" i="4"/>
  <c r="K166" i="4"/>
  <c r="K167" i="4"/>
  <c r="K168" i="4"/>
  <c r="K187" i="4"/>
  <c r="K172" i="4"/>
  <c r="K173" i="4"/>
  <c r="K174" i="4"/>
  <c r="K196" i="4"/>
  <c r="K198" i="4"/>
  <c r="K169" i="4"/>
  <c r="K188" i="4"/>
  <c r="K175" i="4"/>
  <c r="K199" i="4"/>
  <c r="K201" i="4"/>
  <c r="K170" i="4"/>
  <c r="K191" i="4"/>
  <c r="K176" i="4"/>
  <c r="K171" i="4"/>
  <c r="K192" i="4"/>
  <c r="K193" i="4"/>
  <c r="K194" i="4"/>
  <c r="K197" i="4"/>
  <c r="K177" i="4"/>
  <c r="K179" i="4"/>
  <c r="K180" i="4"/>
  <c r="K195" i="4"/>
  <c r="K200" i="4"/>
  <c r="K178" i="4"/>
  <c r="N180" i="4" a="1"/>
  <c r="N180" i="4" s="1"/>
  <c r="N182" i="4" a="1"/>
  <c r="N182" i="4" s="1"/>
  <c r="N186" i="4" a="1"/>
  <c r="N186" i="4" s="1"/>
  <c r="D77" i="29"/>
  <c r="F77" i="29" s="1"/>
  <c r="N201" i="4" a="1"/>
  <c r="N201" i="4" s="1"/>
  <c r="B8" i="29"/>
  <c r="D82" i="29"/>
  <c r="F82" i="29" s="1"/>
  <c r="D51" i="29"/>
  <c r="E51" i="29" s="1"/>
  <c r="G51" i="29" s="1"/>
  <c r="D108" i="29"/>
  <c r="F108" i="29" s="1"/>
  <c r="D99" i="29"/>
  <c r="F99" i="29" s="1"/>
  <c r="D60" i="29"/>
  <c r="E60" i="29" s="1"/>
  <c r="G60" i="29" s="1"/>
  <c r="D48" i="29"/>
  <c r="E48" i="29" s="1"/>
  <c r="G48" i="29" s="1"/>
  <c r="D105" i="29"/>
  <c r="F105" i="29" s="1"/>
  <c r="D75" i="29"/>
  <c r="F75" i="29" s="1"/>
  <c r="G7" i="30"/>
  <c r="B65" i="30"/>
  <c r="B64" i="30"/>
  <c r="B63" i="30"/>
  <c r="D94" i="29"/>
  <c r="F94" i="29" s="1"/>
  <c r="D86" i="29"/>
  <c r="F86" i="29" s="1"/>
  <c r="E127" i="4"/>
  <c r="E128" i="4"/>
  <c r="P128" i="4" s="1"/>
  <c r="E126" i="4"/>
  <c r="M127" i="4"/>
  <c r="M128" i="4"/>
  <c r="M126" i="4"/>
  <c r="I128" i="4"/>
  <c r="I126" i="4"/>
  <c r="Y13" i="21"/>
  <c r="N172" i="4" a="1"/>
  <c r="N172" i="4" s="1"/>
  <c r="I124" i="4"/>
  <c r="I127" i="4"/>
  <c r="G208" i="4"/>
  <c r="O6" i="23"/>
  <c r="I49" i="21"/>
  <c r="S12" i="4"/>
  <c r="C49" i="21"/>
  <c r="Y38" i="21"/>
  <c r="C50" i="21"/>
  <c r="L49" i="21"/>
  <c r="M141" i="4"/>
  <c r="M134" i="4"/>
  <c r="G138" i="4"/>
  <c r="M11" i="23"/>
  <c r="BI11" i="31" s="1"/>
  <c r="AK11" i="31" s="1"/>
  <c r="M11" i="31" s="1"/>
  <c r="D74" i="29"/>
  <c r="E74" i="29" s="1"/>
  <c r="G74" i="29" s="1"/>
  <c r="D43" i="29"/>
  <c r="E43" i="29" s="1"/>
  <c r="G43" i="29" s="1"/>
  <c r="D91" i="29"/>
  <c r="F91" i="29" s="1"/>
  <c r="D62" i="29"/>
  <c r="F62" i="29" s="1"/>
  <c r="D39" i="29"/>
  <c r="F39" i="29" s="1"/>
  <c r="D46" i="29"/>
  <c r="E46" i="29" s="1"/>
  <c r="G46" i="29" s="1"/>
  <c r="D37" i="29"/>
  <c r="F37" i="29" s="1"/>
  <c r="D66" i="29"/>
  <c r="F66" i="29" s="1"/>
  <c r="D38" i="29"/>
  <c r="F38" i="29" s="1"/>
  <c r="D83" i="29"/>
  <c r="E83" i="29" s="1"/>
  <c r="G83" i="29" s="1"/>
  <c r="D44" i="29"/>
  <c r="F44" i="29" s="1"/>
  <c r="D92" i="29"/>
  <c r="F92" i="29" s="1"/>
  <c r="D102" i="29"/>
  <c r="F102" i="29" s="1"/>
  <c r="D53" i="29"/>
  <c r="F53" i="29" s="1"/>
  <c r="D67" i="29"/>
  <c r="E67" i="29" s="1"/>
  <c r="G67" i="29" s="1"/>
  <c r="D40" i="29"/>
  <c r="F40" i="29" s="1"/>
  <c r="D89" i="29"/>
  <c r="F89" i="29" s="1"/>
  <c r="D100" i="29"/>
  <c r="F100" i="29" s="1"/>
  <c r="D95" i="29"/>
  <c r="F95" i="29" s="1"/>
  <c r="D73" i="29"/>
  <c r="F73" i="29" s="1"/>
  <c r="D54" i="29"/>
  <c r="E54" i="29" s="1"/>
  <c r="G54" i="29" s="1"/>
  <c r="D68" i="29"/>
  <c r="F68" i="29" s="1"/>
  <c r="D104" i="29"/>
  <c r="F104" i="29" s="1"/>
  <c r="D97" i="29"/>
  <c r="F97" i="29" s="1"/>
  <c r="D56" i="29"/>
  <c r="E56" i="29" s="1"/>
  <c r="G56" i="29" s="1"/>
  <c r="D103" i="29"/>
  <c r="E103" i="29" s="1"/>
  <c r="G103" i="29" s="1"/>
  <c r="D59" i="29"/>
  <c r="F59" i="29" s="1"/>
  <c r="D64" i="29"/>
  <c r="E64" i="29" s="1"/>
  <c r="G64" i="29" s="1"/>
  <c r="D87" i="29"/>
  <c r="F87" i="29" s="1"/>
  <c r="D65" i="29"/>
  <c r="E65" i="29" s="1"/>
  <c r="G65" i="29" s="1"/>
  <c r="D49" i="29"/>
  <c r="E49" i="29" s="1"/>
  <c r="G49" i="29" s="1"/>
  <c r="D50" i="29"/>
  <c r="E50" i="29" s="1"/>
  <c r="G50" i="29" s="1"/>
  <c r="D85" i="29"/>
  <c r="F85" i="29" s="1"/>
  <c r="D79" i="29"/>
  <c r="E79" i="29" s="1"/>
  <c r="G79" i="29" s="1"/>
  <c r="D47" i="29"/>
  <c r="F47" i="29" s="1"/>
  <c r="D42" i="29"/>
  <c r="F42" i="29" s="1"/>
  <c r="D70" i="29"/>
  <c r="E70" i="29" s="1"/>
  <c r="G70" i="29" s="1"/>
  <c r="D72" i="29"/>
  <c r="F72" i="29" s="1"/>
  <c r="D71" i="29"/>
  <c r="E71" i="29" s="1"/>
  <c r="G71" i="29" s="1"/>
  <c r="D101" i="29"/>
  <c r="F101" i="29" s="1"/>
  <c r="D96" i="29"/>
  <c r="F96" i="29" s="1"/>
  <c r="D98" i="29"/>
  <c r="E98" i="29" s="1"/>
  <c r="G98" i="29" s="1"/>
  <c r="D63" i="29"/>
  <c r="E63" i="29" s="1"/>
  <c r="G63" i="29" s="1"/>
  <c r="D57" i="29"/>
  <c r="F57" i="29" s="1"/>
  <c r="D88" i="29"/>
  <c r="F88" i="29" s="1"/>
  <c r="D80" i="29"/>
  <c r="F80" i="29" s="1"/>
  <c r="D78" i="29"/>
  <c r="E78" i="29" s="1"/>
  <c r="G78" i="29" s="1"/>
  <c r="D106" i="29"/>
  <c r="E106" i="29" s="1"/>
  <c r="G106" i="29" s="1"/>
  <c r="D45" i="29"/>
  <c r="E45" i="29" s="1"/>
  <c r="G45" i="29" s="1"/>
  <c r="D93" i="29"/>
  <c r="F93" i="29" s="1"/>
  <c r="D90" i="29"/>
  <c r="E90" i="29" s="1"/>
  <c r="G90" i="29" s="1"/>
  <c r="D41" i="29"/>
  <c r="F41" i="29" s="1"/>
  <c r="D107" i="29"/>
  <c r="F107" i="29" s="1"/>
  <c r="D69" i="29"/>
  <c r="F69" i="29" s="1"/>
  <c r="D61" i="29"/>
  <c r="F61" i="29" s="1"/>
  <c r="D84" i="29"/>
  <c r="F84" i="29" s="1"/>
  <c r="O3" i="23"/>
  <c r="D58" i="29"/>
  <c r="E58" i="29" s="1"/>
  <c r="G58" i="29" s="1"/>
  <c r="D81" i="29"/>
  <c r="F81" i="29" s="1"/>
  <c r="D76" i="29"/>
  <c r="E76" i="29" s="1"/>
  <c r="G76" i="29" s="1"/>
  <c r="D55" i="29"/>
  <c r="F55" i="29" s="1"/>
  <c r="O5" i="23"/>
  <c r="P110" i="28"/>
  <c r="E110" i="28" s="1"/>
  <c r="Q110" i="28"/>
  <c r="Q80" i="28"/>
  <c r="P80" i="28"/>
  <c r="G80" i="28" s="1"/>
  <c r="F80" i="28" s="1"/>
  <c r="J70" i="22"/>
  <c r="J65" i="22"/>
  <c r="J82" i="22"/>
  <c r="J14" i="22"/>
  <c r="J30" i="22"/>
  <c r="J72" i="22"/>
  <c r="P87" i="28"/>
  <c r="G87" i="28" s="1"/>
  <c r="F87" i="28" s="1"/>
  <c r="K10" i="23"/>
  <c r="AL10" i="23"/>
  <c r="Q74" i="28"/>
  <c r="P74" i="28"/>
  <c r="K13" i="23"/>
  <c r="AG13" i="23" s="1"/>
  <c r="L24" i="4"/>
  <c r="L29" i="4"/>
  <c r="L33" i="4"/>
  <c r="Q57" i="28"/>
  <c r="P57" i="28"/>
  <c r="Q20" i="28"/>
  <c r="P20" i="28"/>
  <c r="P63" i="28"/>
  <c r="Q63" i="28"/>
  <c r="Q45" i="28"/>
  <c r="P45" i="28"/>
  <c r="P60" i="28"/>
  <c r="Q60" i="28"/>
  <c r="P53" i="28"/>
  <c r="Q53" i="28"/>
  <c r="L5" i="24"/>
  <c r="L8" i="23"/>
  <c r="K11" i="11"/>
  <c r="J47" i="22"/>
  <c r="J13" i="22"/>
  <c r="J66" i="22"/>
  <c r="J6" i="22"/>
  <c r="L31" i="4"/>
  <c r="J68" i="22"/>
  <c r="J28" i="22"/>
  <c r="J61" i="22"/>
  <c r="L32" i="4"/>
  <c r="J81" i="22"/>
  <c r="L30" i="4"/>
  <c r="J73" i="22"/>
  <c r="J60" i="22"/>
  <c r="J59" i="22"/>
  <c r="L34" i="4"/>
  <c r="J36" i="22"/>
  <c r="L18" i="4"/>
  <c r="J31" i="22"/>
  <c r="J32" i="22"/>
  <c r="J76" i="22"/>
  <c r="L23" i="4"/>
  <c r="AM28" i="23"/>
  <c r="J56" i="22"/>
  <c r="L17" i="4"/>
  <c r="J35" i="22"/>
  <c r="J69" i="22"/>
  <c r="J25" i="22"/>
  <c r="L36" i="4"/>
  <c r="P59" i="28"/>
  <c r="L25" i="4"/>
  <c r="J79" i="22"/>
  <c r="J45" i="22"/>
  <c r="J62" i="22"/>
  <c r="L16" i="4"/>
  <c r="P100" i="28"/>
  <c r="G100" i="28" s="1"/>
  <c r="F100" i="28" s="1"/>
  <c r="L21" i="4"/>
  <c r="J84" i="22"/>
  <c r="J77" i="22"/>
  <c r="J39" i="22"/>
  <c r="L27" i="4"/>
  <c r="L22" i="4"/>
  <c r="J24" i="22"/>
  <c r="L28" i="4"/>
  <c r="J80" i="22"/>
  <c r="J74" i="22"/>
  <c r="J71" i="22"/>
  <c r="L38" i="4"/>
  <c r="I123" i="4"/>
  <c r="Q109" i="28"/>
  <c r="J78" i="22"/>
  <c r="L26" i="4"/>
  <c r="J42" i="22"/>
  <c r="J40" i="22"/>
  <c r="J75" i="22"/>
  <c r="L37" i="4"/>
  <c r="P78" i="28"/>
  <c r="E78" i="28" s="1"/>
  <c r="D79" i="28" s="1"/>
  <c r="I125" i="4"/>
  <c r="O4" i="22" a="1"/>
  <c r="O4" i="22" s="1"/>
  <c r="J34" i="22"/>
  <c r="L15" i="4"/>
  <c r="J17" i="22"/>
  <c r="J83" i="22"/>
  <c r="J52" i="22"/>
  <c r="J67" i="22"/>
  <c r="J7" i="22"/>
  <c r="Q40" i="28"/>
  <c r="P40" i="28"/>
  <c r="E39" i="28" s="1"/>
  <c r="D40" i="28" s="1"/>
  <c r="Q75" i="28"/>
  <c r="P75" i="28"/>
  <c r="E75" i="28" s="1"/>
  <c r="D76" i="28" s="1"/>
  <c r="Q82" i="28"/>
  <c r="P82" i="28"/>
  <c r="Q90" i="28"/>
  <c r="P90" i="28"/>
  <c r="Q70" i="28"/>
  <c r="P70" i="28"/>
  <c r="G70" i="28" s="1"/>
  <c r="F70" i="28" s="1"/>
  <c r="E109" i="28"/>
  <c r="D110" i="28" s="1"/>
  <c r="G5" i="24"/>
  <c r="L6" i="23"/>
  <c r="E139" i="4"/>
  <c r="E138" i="4"/>
  <c r="P138" i="4" s="1"/>
  <c r="E140" i="4"/>
  <c r="P140" i="4" s="1"/>
  <c r="C243" i="4"/>
  <c r="E146" i="4"/>
  <c r="P146" i="4" s="1"/>
  <c r="E144" i="4"/>
  <c r="E142" i="4"/>
  <c r="P142" i="4" s="1"/>
  <c r="E143" i="4"/>
  <c r="P143" i="4" s="1"/>
  <c r="E141" i="4"/>
  <c r="E145" i="4"/>
  <c r="F45" i="4"/>
  <c r="Y67" i="21" s="1"/>
  <c r="BH13" i="23"/>
  <c r="AL14" i="23"/>
  <c r="D10" i="23"/>
  <c r="K10" i="11"/>
  <c r="E3" i="11" a="1"/>
  <c r="E3" i="11" s="1"/>
  <c r="AM18" i="21"/>
  <c r="D13" i="11" s="1"/>
  <c r="L5" i="23"/>
  <c r="B5" i="24"/>
  <c r="AN28" i="23"/>
  <c r="AO11" i="23"/>
  <c r="J55" i="22"/>
  <c r="J10" i="22"/>
  <c r="J38" i="22"/>
  <c r="J12" i="22"/>
  <c r="J11" i="22"/>
  <c r="J51" i="22"/>
  <c r="J21" i="22"/>
  <c r="J50" i="22"/>
  <c r="J58" i="22"/>
  <c r="J53" i="22"/>
  <c r="J57" i="22"/>
  <c r="J20" i="22"/>
  <c r="J46" i="22"/>
  <c r="J16" i="22"/>
  <c r="J54" i="22"/>
  <c r="J44" i="22"/>
  <c r="J19" i="22"/>
  <c r="J43" i="22"/>
  <c r="J64" i="22"/>
  <c r="J27" i="22"/>
  <c r="J33" i="22"/>
  <c r="J48" i="22"/>
  <c r="J15" i="22"/>
  <c r="J23" i="22"/>
  <c r="J29" i="22"/>
  <c r="J8" i="22"/>
  <c r="J41" i="22"/>
  <c r="J9" i="22"/>
  <c r="J18" i="22"/>
  <c r="J63" i="22"/>
  <c r="J49" i="22"/>
  <c r="J22" i="22"/>
  <c r="J26" i="22"/>
  <c r="J37" i="22"/>
  <c r="C14" i="23"/>
  <c r="G13" i="23"/>
  <c r="H17" i="11"/>
  <c r="R7" i="11"/>
  <c r="H13" i="11"/>
  <c r="H29" i="11"/>
  <c r="H9" i="11"/>
  <c r="H8" i="11"/>
  <c r="H16" i="11"/>
  <c r="D8" i="11"/>
  <c r="D9" i="11"/>
  <c r="H26" i="11"/>
  <c r="A15" i="21"/>
  <c r="C58" i="21"/>
  <c r="E22" i="11"/>
  <c r="C73" i="21"/>
  <c r="L4" i="22"/>
  <c r="A16" i="21"/>
  <c r="J12" i="23"/>
  <c r="AK12" i="23"/>
  <c r="E132" i="4"/>
  <c r="P132" i="4" s="1"/>
  <c r="E125" i="4"/>
  <c r="E124" i="4"/>
  <c r="E123" i="4"/>
  <c r="P123" i="4" s="1"/>
  <c r="E133" i="4"/>
  <c r="P133" i="4" s="1"/>
  <c r="E131" i="4"/>
  <c r="E118" i="4"/>
  <c r="E122" i="4"/>
  <c r="P122" i="4" s="1"/>
  <c r="E121" i="4"/>
  <c r="C244" i="4"/>
  <c r="E120" i="4"/>
  <c r="E119" i="4"/>
  <c r="P119" i="4" s="1"/>
  <c r="E129" i="4"/>
  <c r="E117" i="4"/>
  <c r="E134" i="4"/>
  <c r="I5" i="24"/>
  <c r="D5" i="24"/>
  <c r="N5" i="24"/>
  <c r="AR4" i="21"/>
  <c r="S5" i="24"/>
  <c r="C5" i="24"/>
  <c r="R5" i="24"/>
  <c r="H5" i="24"/>
  <c r="AR3" i="21"/>
  <c r="M5" i="24"/>
  <c r="Y41" i="21"/>
  <c r="G6" i="24" a="1"/>
  <c r="G6" i="24" s="1"/>
  <c r="BG12" i="31"/>
  <c r="AI12" i="31" s="1"/>
  <c r="K12" i="31" s="1"/>
  <c r="BH11" i="31"/>
  <c r="AJ11" i="31" s="1"/>
  <c r="L11" i="31" s="1"/>
  <c r="BH12" i="23"/>
  <c r="G12" i="23"/>
  <c r="Q83" i="28"/>
  <c r="P83" i="28"/>
  <c r="Q21" i="28"/>
  <c r="P21" i="28"/>
  <c r="P97" i="28"/>
  <c r="Q97" i="28"/>
  <c r="Q54" i="28"/>
  <c r="P54" i="28"/>
  <c r="P91" i="28"/>
  <c r="Q91" i="28"/>
  <c r="Q99" i="28"/>
  <c r="P99" i="28"/>
  <c r="Q85" i="28"/>
  <c r="P85" i="28"/>
  <c r="Q86" i="28"/>
  <c r="P86" i="28"/>
  <c r="G86" i="28" s="1"/>
  <c r="F86" i="28" s="1"/>
  <c r="Q93" i="28"/>
  <c r="P93" i="28"/>
  <c r="Q49" i="28"/>
  <c r="P49" i="28"/>
  <c r="Q101" i="28"/>
  <c r="P101" i="28"/>
  <c r="P76" i="28"/>
  <c r="Q76" i="28"/>
  <c r="Q58" i="28"/>
  <c r="P58" i="28"/>
  <c r="Q52" i="28"/>
  <c r="P52" i="28"/>
  <c r="P72" i="28"/>
  <c r="P105" i="28"/>
  <c r="E105" i="28" s="1"/>
  <c r="D106" i="28" s="1"/>
  <c r="Q56" i="28"/>
  <c r="P56" i="28"/>
  <c r="Q22" i="28"/>
  <c r="P22" i="28"/>
  <c r="Q44" i="28"/>
  <c r="P44" i="28"/>
  <c r="P28" i="28"/>
  <c r="Q28" i="28"/>
  <c r="Q67" i="28"/>
  <c r="P67" i="28"/>
  <c r="P51" i="28"/>
  <c r="Q51" i="28"/>
  <c r="Q77" i="28"/>
  <c r="P77" i="28"/>
  <c r="Q106" i="28"/>
  <c r="P106" i="28"/>
  <c r="Q81" i="28"/>
  <c r="P81" i="28"/>
  <c r="Q92" i="28"/>
  <c r="P92" i="28"/>
  <c r="Q23" i="28"/>
  <c r="P23" i="28"/>
  <c r="P29" i="28"/>
  <c r="Q29" i="28"/>
  <c r="Q62" i="28"/>
  <c r="P62" i="28"/>
  <c r="Q68" i="28"/>
  <c r="P68" i="28"/>
  <c r="Q73" i="28"/>
  <c r="P73" i="28"/>
  <c r="P27" i="28"/>
  <c r="Q27" i="28"/>
  <c r="P50" i="28"/>
  <c r="Q50" i="28"/>
  <c r="Q94" i="28"/>
  <c r="P94" i="28"/>
  <c r="P107" i="28"/>
  <c r="Q107" i="28"/>
  <c r="Q34" i="28"/>
  <c r="P34" i="28"/>
  <c r="P18" i="28"/>
  <c r="Q18" i="28"/>
  <c r="P88" i="28"/>
  <c r="Q88" i="28"/>
  <c r="D9" i="30" a="1"/>
  <c r="D9" i="30" s="1"/>
  <c r="D14" i="30" a="1"/>
  <c r="D14" i="30" s="1"/>
  <c r="G3" i="30"/>
  <c r="G4" i="30"/>
  <c r="B39" i="30"/>
  <c r="G5" i="30"/>
  <c r="G6" i="30"/>
  <c r="Q24" i="28"/>
  <c r="P24" i="28"/>
  <c r="Q30" i="28"/>
  <c r="P30" i="28"/>
  <c r="Q41" i="28"/>
  <c r="P41" i="28"/>
  <c r="P46" i="28"/>
  <c r="Q46" i="28"/>
  <c r="Q69" i="28"/>
  <c r="P69" i="28"/>
  <c r="Q95" i="28"/>
  <c r="P95" i="28"/>
  <c r="Q108" i="28"/>
  <c r="P108" i="28"/>
  <c r="Q89" i="28"/>
  <c r="P89" i="28"/>
  <c r="Q19" i="28"/>
  <c r="P19" i="28"/>
  <c r="P31" i="28"/>
  <c r="Q31" i="28"/>
  <c r="Q47" i="28"/>
  <c r="P47" i="28"/>
  <c r="P79" i="28"/>
  <c r="Q79" i="28"/>
  <c r="P84" i="28"/>
  <c r="Q84" i="28"/>
  <c r="P96" i="28"/>
  <c r="Q96" i="28"/>
  <c r="P25" i="28"/>
  <c r="Q25" i="28"/>
  <c r="Q37" i="28"/>
  <c r="P37" i="28"/>
  <c r="P42" i="28"/>
  <c r="Q42" i="28"/>
  <c r="P64" i="28"/>
  <c r="Q64" i="28"/>
  <c r="Q66" i="28"/>
  <c r="P66" i="28"/>
  <c r="Q32" i="28"/>
  <c r="P32" i="28"/>
  <c r="P48" i="28"/>
  <c r="Q48" i="28"/>
  <c r="Q103" i="28"/>
  <c r="P103" i="28"/>
  <c r="P36" i="28"/>
  <c r="Q36" i="28"/>
  <c r="Q26" i="28"/>
  <c r="P26" i="28"/>
  <c r="Q38" i="28"/>
  <c r="P38" i="28"/>
  <c r="E38" i="28" s="1"/>
  <c r="D39" i="28" s="1"/>
  <c r="P43" i="28"/>
  <c r="Q43" i="28"/>
  <c r="Q33" i="28"/>
  <c r="P33" i="28"/>
  <c r="Q55" i="28"/>
  <c r="P55" i="28"/>
  <c r="P71" i="28"/>
  <c r="Q71" i="28"/>
  <c r="P98" i="28"/>
  <c r="Q98" i="28"/>
  <c r="Q104" i="28"/>
  <c r="P104" i="28"/>
  <c r="O2" i="28"/>
  <c r="Q39" i="28"/>
  <c r="P35" i="28"/>
  <c r="P61" i="28"/>
  <c r="P65" i="28"/>
  <c r="P102" i="28"/>
  <c r="Y74" i="21"/>
  <c r="C19" i="21"/>
  <c r="M123" i="4"/>
  <c r="G143" i="4"/>
  <c r="G141" i="4"/>
  <c r="M129" i="4"/>
  <c r="M144" i="4"/>
  <c r="G144" i="4"/>
  <c r="M138" i="4"/>
  <c r="M121" i="4"/>
  <c r="M146" i="4"/>
  <c r="M122" i="4"/>
  <c r="M133" i="4"/>
  <c r="M132" i="4"/>
  <c r="G146" i="4"/>
  <c r="M140" i="4"/>
  <c r="M120" i="4"/>
  <c r="M125" i="4"/>
  <c r="M117" i="4"/>
  <c r="M143" i="4"/>
  <c r="G145" i="4"/>
  <c r="G140" i="4"/>
  <c r="M142" i="4"/>
  <c r="M131" i="4"/>
  <c r="M119" i="4"/>
  <c r="G142" i="4"/>
  <c r="M145" i="4"/>
  <c r="M118" i="4"/>
  <c r="M139" i="4"/>
  <c r="G139" i="4"/>
  <c r="Y46" i="21" s="1"/>
  <c r="P6" i="5" s="1"/>
  <c r="M124" i="4"/>
  <c r="H19" i="11"/>
  <c r="I117" i="4"/>
  <c r="I121" i="4"/>
  <c r="B16" i="28" a="1"/>
  <c r="B16" i="28" s="1"/>
  <c r="B7" i="29"/>
  <c r="W8" i="5"/>
  <c r="B6" i="29"/>
  <c r="B15" i="28" a="1"/>
  <c r="B15" i="28" s="1"/>
  <c r="E52" i="29"/>
  <c r="G52" i="29" s="1"/>
  <c r="E10" i="23"/>
  <c r="L100" i="4" l="1" a="1"/>
  <c r="L100" i="4" s="1"/>
  <c r="L97" i="4"/>
  <c r="P139" i="4"/>
  <c r="P127" i="4"/>
  <c r="P124" i="4"/>
  <c r="P125" i="4"/>
  <c r="P120" i="4"/>
  <c r="P121" i="4"/>
  <c r="P144" i="4"/>
  <c r="P134" i="4"/>
  <c r="P135" i="4"/>
  <c r="P126" i="4"/>
  <c r="P118" i="4"/>
  <c r="P145" i="4"/>
  <c r="P129" i="4"/>
  <c r="P131" i="4"/>
  <c r="P141" i="4"/>
  <c r="N11" i="4"/>
  <c r="Y30" i="21"/>
  <c r="Y20" i="21"/>
  <c r="D31" i="11"/>
  <c r="D32" i="11"/>
  <c r="E77" i="29"/>
  <c r="G77" i="29" s="1"/>
  <c r="E19" i="28"/>
  <c r="D20" i="28" s="1"/>
  <c r="E56" i="28"/>
  <c r="D57" i="28" s="1"/>
  <c r="E100" i="28"/>
  <c r="D101" i="28" s="1"/>
  <c r="E82" i="29"/>
  <c r="G82" i="29" s="1"/>
  <c r="E105" i="29"/>
  <c r="G105" i="29" s="1"/>
  <c r="E108" i="29"/>
  <c r="G108" i="29" s="1"/>
  <c r="E99" i="29"/>
  <c r="G99" i="29" s="1"/>
  <c r="F51" i="29"/>
  <c r="F48" i="29"/>
  <c r="E75" i="29"/>
  <c r="G75" i="29" s="1"/>
  <c r="N11" i="23"/>
  <c r="BJ11" i="31" s="1"/>
  <c r="AL11" i="31" s="1"/>
  <c r="N11" i="31" s="1"/>
  <c r="E86" i="29"/>
  <c r="G86" i="29" s="1"/>
  <c r="F60" i="29"/>
  <c r="E94" i="29"/>
  <c r="G94" i="29" s="1"/>
  <c r="M28" i="23"/>
  <c r="Y53" i="21"/>
  <c r="F95" i="4"/>
  <c r="G75" i="28"/>
  <c r="F75" i="28" s="1"/>
  <c r="E53" i="28"/>
  <c r="D54" i="28" s="1"/>
  <c r="Y10" i="21"/>
  <c r="G110" i="28"/>
  <c r="F110" i="28" s="1"/>
  <c r="E62" i="28"/>
  <c r="D63" i="28" s="1"/>
  <c r="H137" i="4"/>
  <c r="M137" i="4" s="1"/>
  <c r="I137" i="4"/>
  <c r="H136" i="4"/>
  <c r="M136" i="4" s="1"/>
  <c r="I135" i="4"/>
  <c r="H135" i="4"/>
  <c r="I136" i="4"/>
  <c r="E80" i="28"/>
  <c r="D81" i="28" s="1"/>
  <c r="E44" i="28"/>
  <c r="D45" i="28" s="1"/>
  <c r="P117" i="4"/>
  <c r="W148" i="4" a="1"/>
  <c r="W148" i="4" s="1"/>
  <c r="K91" i="4"/>
  <c r="L91" i="4" s="1"/>
  <c r="K83" i="4"/>
  <c r="L83" i="4" s="1"/>
  <c r="E91" i="29"/>
  <c r="G91" i="29" s="1"/>
  <c r="E100" i="29"/>
  <c r="G100" i="29" s="1"/>
  <c r="F46" i="29"/>
  <c r="F64" i="29"/>
  <c r="E72" i="29"/>
  <c r="G72" i="29" s="1"/>
  <c r="E40" i="29"/>
  <c r="G40" i="29" s="1"/>
  <c r="E53" i="29"/>
  <c r="G53" i="29" s="1"/>
  <c r="F43" i="29"/>
  <c r="E107" i="29"/>
  <c r="G107" i="29" s="1"/>
  <c r="E96" i="29"/>
  <c r="G96" i="29" s="1"/>
  <c r="E69" i="29"/>
  <c r="G69" i="29" s="1"/>
  <c r="F65" i="29"/>
  <c r="F98" i="29"/>
  <c r="E37" i="29"/>
  <c r="G37" i="29" s="1"/>
  <c r="F63" i="29"/>
  <c r="F56" i="29"/>
  <c r="E102" i="29"/>
  <c r="G102" i="29" s="1"/>
  <c r="F70" i="29"/>
  <c r="F45" i="29"/>
  <c r="F74" i="29"/>
  <c r="E92" i="29"/>
  <c r="G92" i="29" s="1"/>
  <c r="E93" i="29"/>
  <c r="G93" i="29" s="1"/>
  <c r="E55" i="29"/>
  <c r="G55" i="29" s="1"/>
  <c r="F67" i="29"/>
  <c r="F103" i="29"/>
  <c r="E41" i="29"/>
  <c r="G41" i="29" s="1"/>
  <c r="E57" i="29"/>
  <c r="G57" i="29" s="1"/>
  <c r="E97" i="29"/>
  <c r="G97" i="29" s="1"/>
  <c r="F76" i="29"/>
  <c r="E42" i="29"/>
  <c r="G42" i="29" s="1"/>
  <c r="F106" i="29"/>
  <c r="E44" i="29"/>
  <c r="G44" i="29" s="1"/>
  <c r="E89" i="29"/>
  <c r="G89" i="29" s="1"/>
  <c r="E101" i="29"/>
  <c r="G101" i="29" s="1"/>
  <c r="E47" i="29"/>
  <c r="G47" i="29" s="1"/>
  <c r="E81" i="29"/>
  <c r="G81" i="29" s="1"/>
  <c r="E87" i="29"/>
  <c r="G87" i="29" s="1"/>
  <c r="F79" i="29"/>
  <c r="E62" i="29"/>
  <c r="G62" i="29" s="1"/>
  <c r="E68" i="29"/>
  <c r="G68" i="29" s="1"/>
  <c r="E104" i="29"/>
  <c r="G104" i="29" s="1"/>
  <c r="E80" i="29"/>
  <c r="G80" i="29" s="1"/>
  <c r="E39" i="29"/>
  <c r="G39" i="29" s="1"/>
  <c r="F58" i="29"/>
  <c r="F83" i="29"/>
  <c r="E38" i="29"/>
  <c r="G38" i="29" s="1"/>
  <c r="F78" i="29"/>
  <c r="E61" i="29"/>
  <c r="G61" i="29" s="1"/>
  <c r="F71" i="29"/>
  <c r="F49" i="29"/>
  <c r="E26" i="28"/>
  <c r="D27" i="28" s="1"/>
  <c r="E88" i="29"/>
  <c r="G88" i="29" s="1"/>
  <c r="E84" i="29"/>
  <c r="G84" i="29" s="1"/>
  <c r="E59" i="29"/>
  <c r="G59" i="29" s="1"/>
  <c r="E66" i="29"/>
  <c r="G66" i="29" s="1"/>
  <c r="F50" i="29"/>
  <c r="E73" i="29"/>
  <c r="G73" i="29" s="1"/>
  <c r="E70" i="28"/>
  <c r="D71" i="28" s="1"/>
  <c r="E59" i="28"/>
  <c r="D60" i="28" s="1"/>
  <c r="F90" i="29"/>
  <c r="F54" i="29"/>
  <c r="E95" i="29"/>
  <c r="G95" i="29" s="1"/>
  <c r="E48" i="28"/>
  <c r="D49" i="28" s="1"/>
  <c r="E52" i="28"/>
  <c r="D53" i="28" s="1"/>
  <c r="E85" i="29"/>
  <c r="G85" i="29" s="1"/>
  <c r="K14" i="23"/>
  <c r="BG14" i="31" s="1"/>
  <c r="AI14" i="31" s="1"/>
  <c r="K14" i="31" s="1"/>
  <c r="E24" i="28"/>
  <c r="D25" i="28" s="1"/>
  <c r="BG13" i="31"/>
  <c r="AI13" i="31" s="1"/>
  <c r="K13" i="31" s="1"/>
  <c r="E87" i="28"/>
  <c r="D88" i="28" s="1"/>
  <c r="E33" i="28"/>
  <c r="D34" i="28" s="1"/>
  <c r="E41" i="28"/>
  <c r="D42" i="28" s="1"/>
  <c r="G74" i="28"/>
  <c r="F74" i="28" s="1"/>
  <c r="E74" i="28"/>
  <c r="D75" i="28" s="1"/>
  <c r="E18" i="28"/>
  <c r="D19" i="28" s="1"/>
  <c r="G241" i="4"/>
  <c r="H243" i="4" s="1" a="1"/>
  <c r="H243" i="4" s="1"/>
  <c r="J243" i="4" s="1" a="1"/>
  <c r="J243" i="4" s="1"/>
  <c r="C23" i="21"/>
  <c r="Y68" i="21"/>
  <c r="G78" i="28"/>
  <c r="F78" i="28" s="1"/>
  <c r="E23" i="28"/>
  <c r="D24" i="28" s="1"/>
  <c r="P4" i="22" a="1"/>
  <c r="P4" i="22" s="1"/>
  <c r="N2" i="22" s="1"/>
  <c r="AM5" i="4"/>
  <c r="E21" i="28"/>
  <c r="D22" i="28" s="1"/>
  <c r="E37" i="28"/>
  <c r="D38" i="28" s="1"/>
  <c r="E22" i="28"/>
  <c r="D23" i="28" s="1"/>
  <c r="Y69" i="21"/>
  <c r="C37" i="21" s="1"/>
  <c r="E20" i="28"/>
  <c r="D21" i="28" s="1"/>
  <c r="D30" i="11"/>
  <c r="C21" i="21"/>
  <c r="D19" i="11"/>
  <c r="E35" i="28"/>
  <c r="D36" i="28" s="1"/>
  <c r="E51" i="28"/>
  <c r="D52" i="28" s="1"/>
  <c r="D14" i="11"/>
  <c r="E17" i="28"/>
  <c r="D18" i="28" s="1"/>
  <c r="E15" i="28"/>
  <c r="D16" i="28" s="1"/>
  <c r="E14" i="28"/>
  <c r="D15" i="28" s="1"/>
  <c r="E16" i="28"/>
  <c r="D17" i="28" s="1"/>
  <c r="E43" i="28"/>
  <c r="D44" i="28" s="1"/>
  <c r="G90" i="28"/>
  <c r="F90" i="28" s="1"/>
  <c r="E90" i="28"/>
  <c r="D91" i="28" s="1"/>
  <c r="G82" i="28"/>
  <c r="F82" i="28" s="1"/>
  <c r="E82" i="28"/>
  <c r="D83" i="28" s="1"/>
  <c r="E27" i="28"/>
  <c r="D28" i="28" s="1"/>
  <c r="K86" i="4"/>
  <c r="L86" i="4" s="1"/>
  <c r="K82" i="4"/>
  <c r="L82" i="4" s="1"/>
  <c r="K87" i="4"/>
  <c r="L87" i="4" s="1"/>
  <c r="K89" i="4"/>
  <c r="L89" i="4" s="1"/>
  <c r="K84" i="4"/>
  <c r="L84" i="4" s="1"/>
  <c r="C15" i="23"/>
  <c r="G14" i="23"/>
  <c r="K85" i="4"/>
  <c r="L85" i="4" s="1"/>
  <c r="AL15" i="23"/>
  <c r="BH14" i="23"/>
  <c r="Y42" i="21"/>
  <c r="AO28" i="23"/>
  <c r="AP11" i="23"/>
  <c r="K90" i="4"/>
  <c r="L90" i="4" s="1"/>
  <c r="K88" i="4"/>
  <c r="L88" i="4" s="1"/>
  <c r="C16" i="21"/>
  <c r="C15" i="21"/>
  <c r="K80" i="4"/>
  <c r="L80" i="4" s="1"/>
  <c r="D29" i="11"/>
  <c r="K81" i="4"/>
  <c r="L81" i="4" s="1"/>
  <c r="H11" i="11"/>
  <c r="D20" i="11"/>
  <c r="E32" i="28"/>
  <c r="D33" i="28" s="1"/>
  <c r="G72" i="28"/>
  <c r="F72" i="28" s="1"/>
  <c r="E72" i="28"/>
  <c r="D73" i="28" s="1"/>
  <c r="G85" i="28"/>
  <c r="F85" i="28" s="1"/>
  <c r="E85" i="28"/>
  <c r="D86" i="28" s="1"/>
  <c r="E46" i="28"/>
  <c r="D47" i="28" s="1"/>
  <c r="E47" i="28"/>
  <c r="D48" i="28" s="1"/>
  <c r="G99" i="28"/>
  <c r="F99" i="28" s="1"/>
  <c r="E99" i="28"/>
  <c r="D100" i="28" s="1"/>
  <c r="E57" i="28"/>
  <c r="D58" i="28" s="1"/>
  <c r="E58" i="28"/>
  <c r="D59" i="28" s="1"/>
  <c r="G91" i="28"/>
  <c r="F91" i="28" s="1"/>
  <c r="E91" i="28"/>
  <c r="D92" i="28" s="1"/>
  <c r="G105" i="28"/>
  <c r="F105" i="28" s="1"/>
  <c r="G76" i="28"/>
  <c r="F76" i="28" s="1"/>
  <c r="E76" i="28"/>
  <c r="D77" i="28" s="1"/>
  <c r="G101" i="28"/>
  <c r="F101" i="28" s="1"/>
  <c r="E101" i="28"/>
  <c r="D102" i="28" s="1"/>
  <c r="G97" i="28"/>
  <c r="F97" i="28" s="1"/>
  <c r="E97" i="28"/>
  <c r="D98" i="28" s="1"/>
  <c r="E86" i="28"/>
  <c r="D87" i="28" s="1"/>
  <c r="E61" i="28"/>
  <c r="D62" i="28" s="1"/>
  <c r="G93" i="28"/>
  <c r="F93" i="28" s="1"/>
  <c r="E93" i="28"/>
  <c r="D94" i="28" s="1"/>
  <c r="G83" i="28"/>
  <c r="F83" i="28" s="1"/>
  <c r="E83" i="28"/>
  <c r="D84" i="28" s="1"/>
  <c r="E79" i="28"/>
  <c r="D80" i="28" s="1"/>
  <c r="G79" i="28"/>
  <c r="F79" i="28" s="1"/>
  <c r="G66" i="28"/>
  <c r="F66" i="28" s="1"/>
  <c r="E66" i="28"/>
  <c r="D67" i="28" s="1"/>
  <c r="G68" i="28"/>
  <c r="F68" i="28" s="1"/>
  <c r="E68" i="28"/>
  <c r="D69" i="28" s="1"/>
  <c r="E30" i="28"/>
  <c r="D31" i="28" s="1"/>
  <c r="E34" i="28"/>
  <c r="D35" i="28" s="1"/>
  <c r="E64" i="28"/>
  <c r="D65" i="28" s="1"/>
  <c r="E63" i="28"/>
  <c r="D64" i="28" s="1"/>
  <c r="E31" i="28"/>
  <c r="D32" i="28" s="1"/>
  <c r="E29" i="28"/>
  <c r="D30" i="28" s="1"/>
  <c r="G67" i="28"/>
  <c r="F67" i="28" s="1"/>
  <c r="E67" i="28"/>
  <c r="D68" i="28" s="1"/>
  <c r="C27" i="21"/>
  <c r="E104" i="28"/>
  <c r="D105" i="28" s="1"/>
  <c r="G104" i="28"/>
  <c r="F104" i="28" s="1"/>
  <c r="E42" i="28"/>
  <c r="D43" i="28" s="1"/>
  <c r="G107" i="28"/>
  <c r="F107" i="28" s="1"/>
  <c r="E107" i="28"/>
  <c r="D108" i="28" s="1"/>
  <c r="E102" i="28"/>
  <c r="D103" i="28" s="1"/>
  <c r="G102" i="28"/>
  <c r="F102" i="28" s="1"/>
  <c r="E89" i="28"/>
  <c r="D90" i="28" s="1"/>
  <c r="G89" i="28"/>
  <c r="F89" i="28" s="1"/>
  <c r="E94" i="28"/>
  <c r="D95" i="28" s="1"/>
  <c r="G94" i="28"/>
  <c r="F94" i="28" s="1"/>
  <c r="E40" i="28"/>
  <c r="D41" i="28" s="1"/>
  <c r="E28" i="28"/>
  <c r="D29" i="28" s="1"/>
  <c r="E88" i="28"/>
  <c r="D89" i="28" s="1"/>
  <c r="G88" i="28"/>
  <c r="F88" i="28" s="1"/>
  <c r="G65" i="28"/>
  <c r="F65" i="28" s="1"/>
  <c r="E65" i="28"/>
  <c r="D66" i="28" s="1"/>
  <c r="G98" i="28"/>
  <c r="F98" i="28" s="1"/>
  <c r="E98" i="28"/>
  <c r="D99" i="28" s="1"/>
  <c r="E92" i="28"/>
  <c r="D93" i="28" s="1"/>
  <c r="G92" i="28"/>
  <c r="F92" i="28" s="1"/>
  <c r="E45" i="28"/>
  <c r="D46" i="28" s="1"/>
  <c r="G108" i="28"/>
  <c r="F108" i="28" s="1"/>
  <c r="E108" i="28"/>
  <c r="D109" i="28" s="1"/>
  <c r="G71" i="28"/>
  <c r="F71" i="28" s="1"/>
  <c r="E71" i="28"/>
  <c r="D72" i="28" s="1"/>
  <c r="E36" i="28"/>
  <c r="D37" i="28" s="1"/>
  <c r="E25" i="28"/>
  <c r="D26" i="28" s="1"/>
  <c r="E50" i="28"/>
  <c r="D51" i="28" s="1"/>
  <c r="E49" i="28"/>
  <c r="D50" i="28" s="1"/>
  <c r="G81" i="28"/>
  <c r="F81" i="28" s="1"/>
  <c r="E81" i="28"/>
  <c r="D82" i="28" s="1"/>
  <c r="E60" i="28"/>
  <c r="D61" i="28" s="1"/>
  <c r="E103" i="28"/>
  <c r="D104" i="28" s="1"/>
  <c r="G103" i="28"/>
  <c r="F103" i="28" s="1"/>
  <c r="E95" i="28"/>
  <c r="D96" i="28" s="1"/>
  <c r="G95" i="28"/>
  <c r="F95" i="28" s="1"/>
  <c r="G96" i="28"/>
  <c r="F96" i="28" s="1"/>
  <c r="E96" i="28"/>
  <c r="D97" i="28" s="1"/>
  <c r="E106" i="28"/>
  <c r="D107" i="28" s="1"/>
  <c r="G106" i="28"/>
  <c r="F106" i="28" s="1"/>
  <c r="E54" i="28"/>
  <c r="D55" i="28" s="1"/>
  <c r="E55" i="28"/>
  <c r="D56" i="28" s="1"/>
  <c r="G69" i="28"/>
  <c r="F69" i="28" s="1"/>
  <c r="E69" i="28"/>
  <c r="D70" i="28" s="1"/>
  <c r="G73" i="28"/>
  <c r="F73" i="28" s="1"/>
  <c r="E73" i="28"/>
  <c r="D74" i="28" s="1"/>
  <c r="G84" i="28"/>
  <c r="F84" i="28" s="1"/>
  <c r="E84" i="28"/>
  <c r="D85" i="28" s="1"/>
  <c r="E77" i="28"/>
  <c r="D78" i="28" s="1"/>
  <c r="G77" i="28"/>
  <c r="F77" i="28" s="1"/>
  <c r="G61" i="25"/>
  <c r="E23" i="11" a="1"/>
  <c r="E17" i="11"/>
  <c r="E18" i="11"/>
  <c r="M77" i="4" l="1"/>
  <c r="S15" i="4"/>
  <c r="Q15" i="4" s="1"/>
  <c r="S30" i="4"/>
  <c r="S33" i="4"/>
  <c r="S35" i="4"/>
  <c r="S17" i="4"/>
  <c r="S18" i="4"/>
  <c r="S20" i="4"/>
  <c r="S21" i="4"/>
  <c r="S22" i="4"/>
  <c r="S23" i="4"/>
  <c r="S26" i="4"/>
  <c r="S31" i="4"/>
  <c r="S34" i="4"/>
  <c r="S16" i="4"/>
  <c r="S37" i="4"/>
  <c r="S24" i="4"/>
  <c r="S32" i="4"/>
  <c r="S38" i="4"/>
  <c r="S25" i="4"/>
  <c r="S36" i="4"/>
  <c r="S27" i="4"/>
  <c r="S29" i="4"/>
  <c r="S19" i="4"/>
  <c r="S28" i="4"/>
  <c r="E23" i="11"/>
  <c r="C46" i="21"/>
  <c r="O19" i="4"/>
  <c r="O45" i="21"/>
  <c r="O51" i="21" s="1"/>
  <c r="O52" i="21" s="1"/>
  <c r="R45" i="21"/>
  <c r="R51" i="21" s="1"/>
  <c r="R11" i="5"/>
  <c r="R25" i="21"/>
  <c r="R24" i="21"/>
  <c r="O25" i="21"/>
  <c r="O24" i="21"/>
  <c r="L24" i="21"/>
  <c r="L25" i="21"/>
  <c r="R20" i="21"/>
  <c r="O20" i="21"/>
  <c r="I24" i="21" a="1"/>
  <c r="I24" i="21" s="1"/>
  <c r="O11" i="23"/>
  <c r="O12" i="23" s="1"/>
  <c r="BK12" i="31" s="1"/>
  <c r="N28" i="23"/>
  <c r="K15" i="23"/>
  <c r="K16" i="23" s="1"/>
  <c r="L16" i="23" s="1"/>
  <c r="BH16" i="31" s="1"/>
  <c r="AJ16" i="31" s="1"/>
  <c r="AG14" i="23"/>
  <c r="K97" i="4"/>
  <c r="I10" i="11"/>
  <c r="M80" i="4" a="1"/>
  <c r="M80" i="4" s="1"/>
  <c r="K243" i="4"/>
  <c r="C25" i="21"/>
  <c r="M135" i="4"/>
  <c r="Y47" i="21"/>
  <c r="AQ11" i="23"/>
  <c r="AP28" i="23"/>
  <c r="BH15" i="23"/>
  <c r="AL16" i="23"/>
  <c r="C16" i="23"/>
  <c r="G15" i="23"/>
  <c r="M14" i="23"/>
  <c r="BI14" i="31" s="1"/>
  <c r="AK14" i="31" s="1"/>
  <c r="N13" i="23"/>
  <c r="BJ13" i="31" s="1"/>
  <c r="AL13" i="31" s="1"/>
  <c r="N14" i="23"/>
  <c r="BJ14" i="31" s="1"/>
  <c r="AL14" i="31" s="1"/>
  <c r="L45" i="21"/>
  <c r="L51" i="21" s="1"/>
  <c r="M13" i="23"/>
  <c r="BI13" i="31" s="1"/>
  <c r="AK13" i="31" s="1"/>
  <c r="L14" i="23"/>
  <c r="BH14" i="31" s="1"/>
  <c r="AJ14" i="31" s="1"/>
  <c r="L12" i="23"/>
  <c r="BH12" i="31" s="1"/>
  <c r="AJ12" i="31" s="1"/>
  <c r="L20" i="21"/>
  <c r="C47" i="21"/>
  <c r="L13" i="23"/>
  <c r="BH13" i="31" s="1"/>
  <c r="AJ13" i="31" s="1"/>
  <c r="I20" i="21"/>
  <c r="C45" i="21"/>
  <c r="M12" i="23"/>
  <c r="BI12" i="31" s="1"/>
  <c r="AK12" i="31" s="1"/>
  <c r="N12" i="23"/>
  <c r="BJ12" i="31" s="1"/>
  <c r="AL12" i="31" s="1"/>
  <c r="C20" i="21"/>
  <c r="I45" i="21"/>
  <c r="I51" i="21" s="1"/>
  <c r="I25" i="21"/>
  <c r="O22" i="4"/>
  <c r="O26" i="4"/>
  <c r="D12" i="23"/>
  <c r="F12" i="23" s="1"/>
  <c r="O33" i="4"/>
  <c r="O34" i="4"/>
  <c r="O24" i="4"/>
  <c r="O25" i="4"/>
  <c r="O18" i="4"/>
  <c r="O32" i="4"/>
  <c r="O38" i="4"/>
  <c r="D13" i="23"/>
  <c r="F13" i="23" s="1"/>
  <c r="O15" i="4"/>
  <c r="O30" i="4"/>
  <c r="O20" i="4"/>
  <c r="O29" i="4"/>
  <c r="O28" i="4"/>
  <c r="O31" i="4"/>
  <c r="O23" i="4"/>
  <c r="O16" i="4"/>
  <c r="O37" i="4"/>
  <c r="O17" i="4"/>
  <c r="O36" i="4"/>
  <c r="O35" i="4"/>
  <c r="O27" i="4"/>
  <c r="O21" i="4"/>
  <c r="E13" i="23"/>
  <c r="B13" i="29"/>
  <c r="E12" i="23"/>
  <c r="B15" i="29"/>
  <c r="E14" i="23"/>
  <c r="D14" i="23"/>
  <c r="F14" i="23" s="1"/>
  <c r="T15" i="4" l="1"/>
  <c r="Q32" i="4"/>
  <c r="T32" i="4"/>
  <c r="Q36" i="4"/>
  <c r="T36" i="4"/>
  <c r="T31" i="4"/>
  <c r="Q31" i="4"/>
  <c r="Q22" i="4"/>
  <c r="T22" i="4"/>
  <c r="Q21" i="4"/>
  <c r="T21" i="4"/>
  <c r="Q20" i="4"/>
  <c r="T20" i="4"/>
  <c r="T18" i="4"/>
  <c r="Q18" i="4"/>
  <c r="Q34" i="4"/>
  <c r="T34" i="4"/>
  <c r="Q23" i="4"/>
  <c r="T23" i="4"/>
  <c r="T17" i="4"/>
  <c r="Q17" i="4"/>
  <c r="Q25" i="4"/>
  <c r="T25" i="4"/>
  <c r="T28" i="4"/>
  <c r="Q28" i="4"/>
  <c r="Q35" i="4"/>
  <c r="T35" i="4"/>
  <c r="Q16" i="4"/>
  <c r="T16" i="4"/>
  <c r="T26" i="4"/>
  <c r="Q26" i="4"/>
  <c r="Q19" i="4"/>
  <c r="T19" i="4"/>
  <c r="T33" i="4"/>
  <c r="Q33" i="4"/>
  <c r="Q38" i="4"/>
  <c r="T38" i="4"/>
  <c r="T29" i="4"/>
  <c r="Q29" i="4"/>
  <c r="Q30" i="4"/>
  <c r="T30" i="4"/>
  <c r="T24" i="4"/>
  <c r="Q24" i="4"/>
  <c r="T37" i="4"/>
  <c r="Q37" i="4"/>
  <c r="T27" i="4"/>
  <c r="Q27" i="4"/>
  <c r="O13" i="23"/>
  <c r="BK13" i="31" s="1"/>
  <c r="E15" i="23"/>
  <c r="AG15" i="23"/>
  <c r="BG15" i="31"/>
  <c r="AI15" i="31" s="1"/>
  <c r="K15" i="31" s="1"/>
  <c r="M15" i="23"/>
  <c r="BI15" i="31" s="1"/>
  <c r="AK15" i="31" s="1"/>
  <c r="M14" i="31" s="1"/>
  <c r="D15" i="23"/>
  <c r="F15" i="23" s="1"/>
  <c r="L29" i="11"/>
  <c r="I52" i="21"/>
  <c r="L30" i="11"/>
  <c r="L52" i="21"/>
  <c r="R52" i="21" a="1"/>
  <c r="R52" i="21" s="1"/>
  <c r="L32" i="11"/>
  <c r="L31" i="11"/>
  <c r="C51" i="21"/>
  <c r="C66" i="21"/>
  <c r="L20" i="11" s="1"/>
  <c r="G59" i="25" s="1"/>
  <c r="T20" i="21" a="1"/>
  <c r="T20" i="21" s="1"/>
  <c r="C24" i="21"/>
  <c r="L113" i="4" s="1"/>
  <c r="L15" i="23"/>
  <c r="BH15" i="31" s="1"/>
  <c r="AJ15" i="31" s="1"/>
  <c r="N15" i="23"/>
  <c r="BJ15" i="31" s="1"/>
  <c r="AL15" i="31" s="1"/>
  <c r="O15" i="23"/>
  <c r="BK15" i="31" s="1"/>
  <c r="BK11" i="31"/>
  <c r="AM11" i="31" s="1"/>
  <c r="O11" i="31" s="1"/>
  <c r="O28" i="23"/>
  <c r="P11" i="23"/>
  <c r="P14" i="23" s="1"/>
  <c r="BL14" i="31" s="1"/>
  <c r="O14" i="23"/>
  <c r="BK14" i="31" s="1"/>
  <c r="I22" i="11"/>
  <c r="U13" i="11"/>
  <c r="U14" i="11" s="1"/>
  <c r="L19" i="11" s="1"/>
  <c r="L22" i="11"/>
  <c r="C41" i="21"/>
  <c r="O16" i="23"/>
  <c r="BK16" i="31" s="1"/>
  <c r="N16" i="23"/>
  <c r="BJ16" i="31" s="1"/>
  <c r="AL16" i="31" s="1"/>
  <c r="D16" i="23"/>
  <c r="F16" i="23" s="1"/>
  <c r="M16" i="23"/>
  <c r="BI16" i="31" s="1"/>
  <c r="AK16" i="31" s="1"/>
  <c r="E16" i="23"/>
  <c r="M12" i="31"/>
  <c r="Y49" i="21"/>
  <c r="AO16" i="23" s="1"/>
  <c r="Y48" i="21"/>
  <c r="Y50" i="21"/>
  <c r="L9" i="11" s="1"/>
  <c r="M13" i="31"/>
  <c r="L13" i="31"/>
  <c r="C48" i="21" a="1"/>
  <c r="C48" i="21" s="1"/>
  <c r="G16" i="23"/>
  <c r="C17" i="23"/>
  <c r="AL17" i="23"/>
  <c r="BH16" i="23"/>
  <c r="L12" i="31"/>
  <c r="K17" i="23"/>
  <c r="BG16" i="31"/>
  <c r="AI16" i="31" s="1"/>
  <c r="K16" i="31" s="1"/>
  <c r="AG16" i="23"/>
  <c r="E49" i="11"/>
  <c r="B29" i="21"/>
  <c r="L11" i="11"/>
  <c r="C12" i="5"/>
  <c r="L10" i="11"/>
  <c r="C54" i="21"/>
  <c r="B16" i="29"/>
  <c r="B14" i="29" s="1"/>
  <c r="B32" i="30" s="1"/>
  <c r="B33" i="30"/>
  <c r="B61" i="29"/>
  <c r="A53" i="29" s="1"/>
  <c r="AQ28" i="23"/>
  <c r="AR11" i="23"/>
  <c r="M170" i="4" a="1"/>
  <c r="M176" i="4" a="1"/>
  <c r="M162" i="4" a="1"/>
  <c r="M174" i="4" a="1"/>
  <c r="M166" i="4" a="1"/>
  <c r="M183" i="4" a="1"/>
  <c r="M165" i="4" a="1"/>
  <c r="M161" i="4" a="1"/>
  <c r="M163" i="4" a="1"/>
  <c r="M168" i="4" a="1"/>
  <c r="M169" i="4" a="1"/>
  <c r="M189" i="4" a="1"/>
  <c r="M190" i="4" a="1"/>
  <c r="M173" i="4" a="1"/>
  <c r="M167" i="4" a="1"/>
  <c r="M180" i="4" a="1"/>
  <c r="M178" i="4" a="1"/>
  <c r="M164" i="4" a="1"/>
  <c r="M184" i="4" a="1"/>
  <c r="M160" i="4" a="1"/>
  <c r="M181" i="4" a="1"/>
  <c r="M175" i="4" a="1"/>
  <c r="M185" i="4" a="1"/>
  <c r="M179" i="4" a="1"/>
  <c r="M177" i="4" a="1"/>
  <c r="M171" i="4" a="1"/>
  <c r="M172" i="4" a="1"/>
  <c r="M182" i="4" a="1"/>
  <c r="R27" i="4" l="1"/>
  <c r="U37" i="4"/>
  <c r="R29" i="4"/>
  <c r="U31" i="4"/>
  <c r="R23" i="4"/>
  <c r="R34" i="4"/>
  <c r="U29" i="4"/>
  <c r="R38" i="4"/>
  <c r="U21" i="4"/>
  <c r="U36" i="4"/>
  <c r="U18" i="4"/>
  <c r="U26" i="4"/>
  <c r="R36" i="4"/>
  <c r="R25" i="4"/>
  <c r="U17" i="4"/>
  <c r="U24" i="4"/>
  <c r="R30" i="4"/>
  <c r="U20" i="4"/>
  <c r="R33" i="4"/>
  <c r="R21" i="4"/>
  <c r="R22" i="4"/>
  <c r="U32" i="4"/>
  <c r="U25" i="4"/>
  <c r="R37" i="4"/>
  <c r="R24" i="4"/>
  <c r="U30" i="4"/>
  <c r="R18" i="4"/>
  <c r="U33" i="4"/>
  <c r="R31" i="4"/>
  <c r="R16" i="4"/>
  <c r="R32" i="4"/>
  <c r="U38" i="4"/>
  <c r="R20" i="4"/>
  <c r="U19" i="4"/>
  <c r="U16" i="4"/>
  <c r="R28" i="4"/>
  <c r="U27" i="4"/>
  <c r="R17" i="4"/>
  <c r="U23" i="4"/>
  <c r="U34" i="4"/>
  <c r="U22" i="4"/>
  <c r="R19" i="4"/>
  <c r="R26" i="4"/>
  <c r="U35" i="4"/>
  <c r="R35" i="4"/>
  <c r="U15" i="4"/>
  <c r="U28" i="4"/>
  <c r="R15" i="4"/>
  <c r="T13" i="4"/>
  <c r="U11" i="4"/>
  <c r="AE19" i="4"/>
  <c r="AE38" i="4"/>
  <c r="L15" i="31"/>
  <c r="AM14" i="31"/>
  <c r="N14" i="31" s="1"/>
  <c r="AM12" i="31"/>
  <c r="N12" i="31" s="1"/>
  <c r="P12" i="23"/>
  <c r="BL12" i="31" s="1"/>
  <c r="P15" i="23"/>
  <c r="BL15" i="31" s="1"/>
  <c r="P16" i="23"/>
  <c r="BL16" i="31" s="1"/>
  <c r="P13" i="23"/>
  <c r="BL13" i="31" s="1"/>
  <c r="AM13" i="31"/>
  <c r="N13" i="31" s="1"/>
  <c r="AM16" i="31"/>
  <c r="P28" i="23"/>
  <c r="N9" i="25"/>
  <c r="L14" i="11"/>
  <c r="I8" i="25"/>
  <c r="E50" i="11"/>
  <c r="C52" i="21"/>
  <c r="L13" i="11" s="1"/>
  <c r="L14" i="31"/>
  <c r="M15" i="31"/>
  <c r="L8" i="11"/>
  <c r="AM15" i="31"/>
  <c r="N15" i="31" s="1"/>
  <c r="BL11" i="31"/>
  <c r="AN11" i="31" s="1"/>
  <c r="P11" i="31" s="1"/>
  <c r="Q11" i="23"/>
  <c r="BM11" i="31" s="1"/>
  <c r="AO11" i="31" s="1"/>
  <c r="Q11" i="31" s="1"/>
  <c r="M183" i="4"/>
  <c r="O183" i="4" s="1"/>
  <c r="M165" i="4"/>
  <c r="O165" i="4" s="1"/>
  <c r="L18" i="11"/>
  <c r="M161" i="4"/>
  <c r="O161" i="4" s="1"/>
  <c r="M160" i="4"/>
  <c r="O160" i="4" s="1"/>
  <c r="AQ14" i="23"/>
  <c r="AQ12" i="23"/>
  <c r="AR16" i="23"/>
  <c r="AQ15" i="23"/>
  <c r="AM16" i="23"/>
  <c r="AQ16" i="23"/>
  <c r="AQ13" i="23"/>
  <c r="AN16" i="23"/>
  <c r="AP16" i="23"/>
  <c r="AM14" i="23"/>
  <c r="AN15" i="23"/>
  <c r="AN14" i="23"/>
  <c r="AP14" i="23"/>
  <c r="AM15" i="23"/>
  <c r="AN13" i="23"/>
  <c r="AO15" i="23"/>
  <c r="AP15" i="23"/>
  <c r="AM13" i="23"/>
  <c r="AM12" i="23"/>
  <c r="AP12" i="23"/>
  <c r="AO13" i="23"/>
  <c r="AO14" i="23"/>
  <c r="AN12" i="23"/>
  <c r="AO12" i="23"/>
  <c r="AP13" i="23"/>
  <c r="M167" i="4"/>
  <c r="O167" i="4" s="1"/>
  <c r="M171" i="4"/>
  <c r="O171" i="4" s="1"/>
  <c r="M178" i="4"/>
  <c r="O178" i="4" s="1"/>
  <c r="M179" i="4"/>
  <c r="O179" i="4" s="1"/>
  <c r="M182" i="4"/>
  <c r="O182" i="4" s="1"/>
  <c r="M172" i="4"/>
  <c r="O172" i="4" s="1"/>
  <c r="M185" i="4"/>
  <c r="O185" i="4" s="1"/>
  <c r="M189" i="4"/>
  <c r="O189" i="4" s="1"/>
  <c r="M174" i="4"/>
  <c r="O174" i="4" s="1"/>
  <c r="M162" i="4"/>
  <c r="O162" i="4" s="1"/>
  <c r="M170" i="4"/>
  <c r="O170" i="4" s="1"/>
  <c r="M176" i="4"/>
  <c r="O176" i="4" s="1"/>
  <c r="M173" i="4"/>
  <c r="O173" i="4" s="1"/>
  <c r="M163" i="4"/>
  <c r="O163" i="4" s="1"/>
  <c r="M180" i="4"/>
  <c r="O180" i="4" s="1"/>
  <c r="M184" i="4"/>
  <c r="O184" i="4" s="1"/>
  <c r="M175" i="4"/>
  <c r="O175" i="4" s="1"/>
  <c r="M190" i="4"/>
  <c r="O190" i="4" s="1"/>
  <c r="M177" i="4"/>
  <c r="O177" i="4" s="1"/>
  <c r="M166" i="4"/>
  <c r="O166" i="4" s="1"/>
  <c r="M169" i="4"/>
  <c r="O169" i="4" s="1"/>
  <c r="M164" i="4"/>
  <c r="O164" i="4" s="1"/>
  <c r="M181" i="4"/>
  <c r="O181" i="4" s="1"/>
  <c r="M168" i="4"/>
  <c r="O168" i="4" s="1"/>
  <c r="AE34" i="4"/>
  <c r="AE30" i="4"/>
  <c r="AE29" i="4"/>
  <c r="AE26" i="4"/>
  <c r="B60" i="29"/>
  <c r="AE18" i="4"/>
  <c r="AE22" i="4"/>
  <c r="AE20" i="4"/>
  <c r="AE36" i="4"/>
  <c r="AE33" i="4"/>
  <c r="C29" i="21"/>
  <c r="C32" i="21" s="1"/>
  <c r="G63" i="25" a="1"/>
  <c r="G63" i="25" s="1"/>
  <c r="F8" i="5"/>
  <c r="C55" i="21" a="1"/>
  <c r="C55" i="21" s="1"/>
  <c r="H11" i="5" a="1"/>
  <c r="H11" i="5" s="1"/>
  <c r="AE21" i="4"/>
  <c r="AE37" i="4"/>
  <c r="AE27" i="4"/>
  <c r="AE31" i="4"/>
  <c r="R12" i="5"/>
  <c r="H12" i="5" a="1"/>
  <c r="H12" i="5" s="1"/>
  <c r="G12" i="5" s="1"/>
  <c r="C13" i="5"/>
  <c r="AE28" i="4"/>
  <c r="AE17" i="4"/>
  <c r="AE35" i="4"/>
  <c r="AE25" i="4"/>
  <c r="AR28" i="23"/>
  <c r="AS11" i="23"/>
  <c r="AS17" i="23" s="1"/>
  <c r="AR13" i="23"/>
  <c r="AR12" i="23"/>
  <c r="AR15" i="23"/>
  <c r="AR14" i="23"/>
  <c r="AE32" i="4"/>
  <c r="AE24" i="4"/>
  <c r="AE16" i="4"/>
  <c r="C18" i="23"/>
  <c r="G17" i="23"/>
  <c r="AE23" i="4"/>
  <c r="AL18" i="23"/>
  <c r="BH17" i="23"/>
  <c r="AQ17" i="23"/>
  <c r="AN17" i="23"/>
  <c r="AM17" i="23"/>
  <c r="AR17" i="23"/>
  <c r="AP17" i="23"/>
  <c r="AO17" i="23"/>
  <c r="K18" i="23"/>
  <c r="AG17" i="23"/>
  <c r="BG17" i="31"/>
  <c r="AI17" i="31" s="1"/>
  <c r="K17" i="31" s="1"/>
  <c r="O17" i="23"/>
  <c r="BK17" i="31" s="1"/>
  <c r="AM17" i="31" s="1"/>
  <c r="D17" i="23"/>
  <c r="F17" i="23" s="1"/>
  <c r="N17" i="23"/>
  <c r="BJ17" i="31" s="1"/>
  <c r="AL17" i="31" s="1"/>
  <c r="L17" i="23"/>
  <c r="BH17" i="31" s="1"/>
  <c r="AJ17" i="31" s="1"/>
  <c r="E17" i="23"/>
  <c r="M17" i="23"/>
  <c r="BI17" i="31" s="1"/>
  <c r="AK17" i="31" s="1"/>
  <c r="P17" i="23"/>
  <c r="BL17" i="31" s="1"/>
  <c r="M202" i="4" a="1"/>
  <c r="M197" i="4" a="1"/>
  <c r="M191" i="4" a="1"/>
  <c r="M192" i="4" a="1"/>
  <c r="M200" i="4" a="1"/>
  <c r="M193" i="4" a="1"/>
  <c r="M195" i="4" a="1"/>
  <c r="M199" i="4" a="1"/>
  <c r="M203" i="4" a="1"/>
  <c r="M201" i="4" a="1"/>
  <c r="M198" i="4" a="1"/>
  <c r="M187" i="4" a="1"/>
  <c r="M196" i="4" a="1"/>
  <c r="M194" i="4" a="1"/>
  <c r="M186" i="4" a="1"/>
  <c r="M188" i="4" a="1"/>
  <c r="Q10" i="4" l="1"/>
  <c r="W10" i="4"/>
  <c r="AB15" i="4"/>
  <c r="W15" i="4"/>
  <c r="AN12" i="31"/>
  <c r="O12" i="31" s="1"/>
  <c r="AN13" i="31"/>
  <c r="O13" i="31" s="1"/>
  <c r="AN17" i="31"/>
  <c r="Q17" i="23"/>
  <c r="BM17" i="31" s="1"/>
  <c r="AO17" i="31" s="1"/>
  <c r="Q16" i="23"/>
  <c r="BM16" i="31" s="1"/>
  <c r="AO16" i="31" s="1"/>
  <c r="Q12" i="23"/>
  <c r="BM12" i="31" s="1"/>
  <c r="AO12" i="31" s="1"/>
  <c r="Q14" i="23"/>
  <c r="BM14" i="31" s="1"/>
  <c r="AO14" i="31" s="1"/>
  <c r="Q13" i="23"/>
  <c r="BM13" i="31" s="1"/>
  <c r="AO13" i="31" s="1"/>
  <c r="Q28" i="23"/>
  <c r="R11" i="23"/>
  <c r="R17" i="23" s="1"/>
  <c r="BN17" i="31" s="1"/>
  <c r="Q15" i="23"/>
  <c r="BM15" i="31" s="1"/>
  <c r="AO15" i="31" s="1"/>
  <c r="AN15" i="31"/>
  <c r="O15" i="31" s="1"/>
  <c r="AN14" i="31"/>
  <c r="O14" i="31" s="1"/>
  <c r="AN16" i="31"/>
  <c r="O16" i="31" s="1"/>
  <c r="M187" i="4"/>
  <c r="O187" i="4" s="1"/>
  <c r="M195" i="4"/>
  <c r="O195" i="4" s="1"/>
  <c r="M192" i="4"/>
  <c r="O192" i="4" s="1"/>
  <c r="M193" i="4"/>
  <c r="O193" i="4" s="1"/>
  <c r="M197" i="4"/>
  <c r="O197" i="4" s="1"/>
  <c r="M188" i="4"/>
  <c r="O188" i="4" s="1"/>
  <c r="M196" i="4"/>
  <c r="O196" i="4" s="1"/>
  <c r="M203" i="4"/>
  <c r="O203" i="4" s="1"/>
  <c r="M194" i="4"/>
  <c r="O194" i="4" s="1"/>
  <c r="M199" i="4"/>
  <c r="O199" i="4" s="1"/>
  <c r="M201" i="4"/>
  <c r="O201" i="4" s="1"/>
  <c r="M202" i="4"/>
  <c r="O202" i="4" s="1"/>
  <c r="M198" i="4"/>
  <c r="O198" i="4" s="1"/>
  <c r="M186" i="4"/>
  <c r="O186" i="4" s="1"/>
  <c r="M200" i="4"/>
  <c r="O200" i="4" s="1"/>
  <c r="M191" i="4"/>
  <c r="O191" i="4" s="1"/>
  <c r="AS28" i="23"/>
  <c r="AT11" i="23"/>
  <c r="AT18" i="23" s="1"/>
  <c r="AS13" i="23"/>
  <c r="AS14" i="23"/>
  <c r="AS12" i="23"/>
  <c r="AS15" i="23"/>
  <c r="AS16" i="23"/>
  <c r="L16" i="31"/>
  <c r="C19" i="23"/>
  <c r="G18" i="23"/>
  <c r="M16" i="31"/>
  <c r="K19" i="23"/>
  <c r="BG18" i="31"/>
  <c r="AI18" i="31" s="1"/>
  <c r="K18" i="31" s="1"/>
  <c r="AG18" i="23"/>
  <c r="E18" i="23"/>
  <c r="N18" i="23"/>
  <c r="BJ18" i="31" s="1"/>
  <c r="AL18" i="31" s="1"/>
  <c r="N17" i="31" s="1"/>
  <c r="O18" i="23"/>
  <c r="BK18" i="31" s="1"/>
  <c r="AM18" i="31" s="1"/>
  <c r="D18" i="23"/>
  <c r="F18" i="23" s="1"/>
  <c r="M18" i="23"/>
  <c r="BI18" i="31" s="1"/>
  <c r="AK18" i="31" s="1"/>
  <c r="Q18" i="23"/>
  <c r="BM18" i="31" s="1"/>
  <c r="AO18" i="31" s="1"/>
  <c r="P18" i="23"/>
  <c r="BL18" i="31" s="1"/>
  <c r="AN18" i="31" s="1"/>
  <c r="L18" i="23"/>
  <c r="BH18" i="31" s="1"/>
  <c r="AJ18" i="31" s="1"/>
  <c r="N16" i="31"/>
  <c r="C14" i="5"/>
  <c r="R13" i="5"/>
  <c r="H13" i="5" a="1"/>
  <c r="H13" i="5" s="1"/>
  <c r="G13" i="5" s="1"/>
  <c r="H7" i="5"/>
  <c r="G11" i="5"/>
  <c r="BH18" i="23"/>
  <c r="AL19" i="23"/>
  <c r="AN18" i="23"/>
  <c r="AM18" i="23"/>
  <c r="AR18" i="23"/>
  <c r="AO18" i="23"/>
  <c r="AS18" i="23"/>
  <c r="AQ18" i="23"/>
  <c r="AP18" i="23"/>
  <c r="S11" i="23" l="1"/>
  <c r="S15" i="23" s="1"/>
  <c r="BO15" i="31" s="1"/>
  <c r="O17" i="31"/>
  <c r="P12" i="31"/>
  <c r="BN11" i="31"/>
  <c r="AP11" i="31" s="1"/>
  <c r="R11" i="31" s="1"/>
  <c r="R15" i="23"/>
  <c r="BN15" i="31" s="1"/>
  <c r="AP15" i="31" s="1"/>
  <c r="Q15" i="31" s="1"/>
  <c r="R13" i="23"/>
  <c r="BN13" i="31" s="1"/>
  <c r="AP13" i="31" s="1"/>
  <c r="Q13" i="31" s="1"/>
  <c r="R14" i="23"/>
  <c r="BN14" i="31" s="1"/>
  <c r="AP14" i="31" s="1"/>
  <c r="Q14" i="31" s="1"/>
  <c r="R16" i="23"/>
  <c r="BN16" i="31" s="1"/>
  <c r="AP16" i="31" s="1"/>
  <c r="Q16" i="31" s="1"/>
  <c r="R12" i="23"/>
  <c r="BN12" i="31" s="1"/>
  <c r="AP12" i="31" s="1"/>
  <c r="Q12" i="31" s="1"/>
  <c r="R28" i="23"/>
  <c r="P13" i="31"/>
  <c r="P14" i="31"/>
  <c r="R18" i="23"/>
  <c r="BN18" i="31" s="1"/>
  <c r="AP18" i="31" s="1"/>
  <c r="P15" i="31"/>
  <c r="P17" i="31"/>
  <c r="AP17" i="31"/>
  <c r="Q17" i="31" s="1"/>
  <c r="P160" i="4" a="1"/>
  <c r="P160" i="4" s="1"/>
  <c r="S12" i="23"/>
  <c r="BO12" i="31" s="1"/>
  <c r="S16" i="23"/>
  <c r="BO16" i="31" s="1"/>
  <c r="O157" i="4"/>
  <c r="P16" i="31"/>
  <c r="K20" i="23"/>
  <c r="BG19" i="31"/>
  <c r="AI19" i="31" s="1"/>
  <c r="K19" i="31" s="1"/>
  <c r="AG19" i="23"/>
  <c r="M19" i="23"/>
  <c r="BI19" i="31" s="1"/>
  <c r="AK19" i="31" s="1"/>
  <c r="R19" i="23"/>
  <c r="BN19" i="31" s="1"/>
  <c r="N19" i="23"/>
  <c r="BJ19" i="31" s="1"/>
  <c r="AL19" i="31" s="1"/>
  <c r="P19" i="23"/>
  <c r="BL19" i="31" s="1"/>
  <c r="AN19" i="31" s="1"/>
  <c r="P18" i="31" s="1"/>
  <c r="L19" i="23"/>
  <c r="BH19" i="31" s="1"/>
  <c r="AJ19" i="31" s="1"/>
  <c r="L18" i="31" s="1"/>
  <c r="D19" i="23"/>
  <c r="F19" i="23" s="1"/>
  <c r="Q19" i="23"/>
  <c r="BM19" i="31" s="1"/>
  <c r="AO19" i="31" s="1"/>
  <c r="E19" i="23"/>
  <c r="O19" i="23"/>
  <c r="BK19" i="31" s="1"/>
  <c r="AM19" i="31" s="1"/>
  <c r="O18" i="31" s="1"/>
  <c r="M17" i="31"/>
  <c r="AU11" i="23"/>
  <c r="AU19" i="23" s="1"/>
  <c r="AT28" i="23"/>
  <c r="AT12" i="23"/>
  <c r="AT14" i="23"/>
  <c r="AT15" i="23"/>
  <c r="AT13" i="23"/>
  <c r="AT16" i="23"/>
  <c r="AT17" i="23"/>
  <c r="R14" i="5"/>
  <c r="C15" i="5"/>
  <c r="H14" i="5" a="1"/>
  <c r="H14" i="5" s="1"/>
  <c r="G14" i="5" s="1"/>
  <c r="C20" i="23"/>
  <c r="G19" i="23"/>
  <c r="AL20" i="23"/>
  <c r="BH19" i="23"/>
  <c r="AM19" i="23"/>
  <c r="AS19" i="23"/>
  <c r="AQ19" i="23"/>
  <c r="AT19" i="23"/>
  <c r="AN19" i="23"/>
  <c r="AO19" i="23"/>
  <c r="AP19" i="23"/>
  <c r="AR19" i="23"/>
  <c r="L17" i="31"/>
  <c r="AP19" i="31" l="1"/>
  <c r="S19" i="23"/>
  <c r="BO19" i="31" s="1"/>
  <c r="S28" i="23"/>
  <c r="BO11" i="31"/>
  <c r="AQ11" i="31" s="1"/>
  <c r="S11" i="31" s="1"/>
  <c r="T11" i="23"/>
  <c r="T19" i="23" s="1"/>
  <c r="BP19" i="31" s="1"/>
  <c r="S18" i="23"/>
  <c r="BO18" i="31" s="1"/>
  <c r="AQ18" i="31" s="1"/>
  <c r="S17" i="23"/>
  <c r="BO17" i="31" s="1"/>
  <c r="AQ17" i="31" s="1"/>
  <c r="R17" i="31" s="1"/>
  <c r="S14" i="23"/>
  <c r="BO14" i="31" s="1"/>
  <c r="AQ14" i="31" s="1"/>
  <c r="R14" i="31" s="1"/>
  <c r="S13" i="23"/>
  <c r="BO13" i="31" s="1"/>
  <c r="AQ13" i="31" s="1"/>
  <c r="R13" i="31" s="1"/>
  <c r="AQ16" i="31"/>
  <c r="R16" i="31" s="1"/>
  <c r="AQ12" i="31"/>
  <c r="R12" i="31" s="1"/>
  <c r="AQ15" i="31"/>
  <c r="R15" i="31" s="1"/>
  <c r="Q18" i="31"/>
  <c r="H15" i="5" a="1"/>
  <c r="H15" i="5" s="1"/>
  <c r="G15" i="5" s="1"/>
  <c r="R15" i="5"/>
  <c r="C16" i="5"/>
  <c r="AL21" i="23"/>
  <c r="BH20" i="23"/>
  <c r="AT20" i="23"/>
  <c r="AS20" i="23"/>
  <c r="AQ20" i="23"/>
  <c r="AO20" i="23"/>
  <c r="AN20" i="23"/>
  <c r="AP20" i="23"/>
  <c r="AM20" i="23"/>
  <c r="AR20" i="23"/>
  <c r="AU20" i="23"/>
  <c r="BG20" i="31"/>
  <c r="AI20" i="31" s="1"/>
  <c r="K20" i="31" s="1"/>
  <c r="K21" i="23"/>
  <c r="AG20" i="23"/>
  <c r="E20" i="23"/>
  <c r="T20" i="23"/>
  <c r="BP20" i="31" s="1"/>
  <c r="P20" i="23"/>
  <c r="BL20" i="31" s="1"/>
  <c r="AN20" i="31" s="1"/>
  <c r="M20" i="23"/>
  <c r="BI20" i="31" s="1"/>
  <c r="AK20" i="31" s="1"/>
  <c r="S20" i="23"/>
  <c r="BO20" i="31" s="1"/>
  <c r="AQ20" i="31" s="1"/>
  <c r="R20" i="23"/>
  <c r="BN20" i="31" s="1"/>
  <c r="AP20" i="31" s="1"/>
  <c r="Q20" i="23"/>
  <c r="BM20" i="31" s="1"/>
  <c r="AO20" i="31" s="1"/>
  <c r="D20" i="23"/>
  <c r="F20" i="23" s="1"/>
  <c r="L20" i="23"/>
  <c r="BH20" i="31" s="1"/>
  <c r="AJ20" i="31" s="1"/>
  <c r="L19" i="31" s="1"/>
  <c r="O20" i="23"/>
  <c r="BK20" i="31" s="1"/>
  <c r="AM20" i="31" s="1"/>
  <c r="O19" i="31" s="1"/>
  <c r="N20" i="23"/>
  <c r="BJ20" i="31" s="1"/>
  <c r="AL20" i="31" s="1"/>
  <c r="G20" i="23"/>
  <c r="C21" i="23"/>
  <c r="N18" i="31"/>
  <c r="AU28" i="23"/>
  <c r="AV11" i="23"/>
  <c r="AU15" i="23"/>
  <c r="AU13" i="23"/>
  <c r="AU12" i="23"/>
  <c r="AU14" i="23"/>
  <c r="AU16" i="23"/>
  <c r="AU17" i="23"/>
  <c r="AU18" i="23"/>
  <c r="M18" i="31"/>
  <c r="T28" i="23"/>
  <c r="BP11" i="31"/>
  <c r="AR11" i="31" s="1"/>
  <c r="T11" i="31" s="1"/>
  <c r="U11" i="23"/>
  <c r="T13" i="23"/>
  <c r="BP13" i="31" s="1"/>
  <c r="T16" i="23"/>
  <c r="BP16" i="31" s="1"/>
  <c r="T15" i="23"/>
  <c r="BP15" i="31" s="1"/>
  <c r="T14" i="23"/>
  <c r="BP14" i="31" s="1"/>
  <c r="T17" i="23"/>
  <c r="BP17" i="31" s="1"/>
  <c r="T18" i="23"/>
  <c r="BP18" i="31" s="1"/>
  <c r="Q19" i="31" l="1"/>
  <c r="T12" i="23"/>
  <c r="BP12" i="31" s="1"/>
  <c r="AR12" i="31" s="1"/>
  <c r="AQ19" i="31"/>
  <c r="R19" i="31" s="1"/>
  <c r="R18" i="31"/>
  <c r="AR13" i="31"/>
  <c r="S13" i="31" s="1"/>
  <c r="BQ11" i="31"/>
  <c r="AS11" i="31" s="1"/>
  <c r="U11" i="31" s="1"/>
  <c r="V11" i="23"/>
  <c r="V21" i="23" s="1"/>
  <c r="BR21" i="31" s="1"/>
  <c r="U28" i="23"/>
  <c r="U13" i="23"/>
  <c r="BQ13" i="31" s="1"/>
  <c r="U15" i="23"/>
  <c r="BQ15" i="31" s="1"/>
  <c r="U16" i="23"/>
  <c r="BQ16" i="31" s="1"/>
  <c r="U12" i="23"/>
  <c r="BQ12" i="31" s="1"/>
  <c r="AS12" i="31" s="1"/>
  <c r="U14" i="23"/>
  <c r="BQ14" i="31" s="1"/>
  <c r="U17" i="23"/>
  <c r="BQ17" i="31" s="1"/>
  <c r="U18" i="23"/>
  <c r="BQ18" i="31" s="1"/>
  <c r="U19" i="23"/>
  <c r="BQ19" i="31" s="1"/>
  <c r="BG21" i="31"/>
  <c r="AI21" i="31" s="1"/>
  <c r="K21" i="31" s="1"/>
  <c r="K22" i="23"/>
  <c r="AG21" i="23"/>
  <c r="R21" i="23"/>
  <c r="BN21" i="31" s="1"/>
  <c r="AP21" i="31" s="1"/>
  <c r="R20" i="31" s="1"/>
  <c r="T21" i="23"/>
  <c r="BP21" i="31" s="1"/>
  <c r="AR21" i="31" s="1"/>
  <c r="N21" i="23"/>
  <c r="BJ21" i="31" s="1"/>
  <c r="AL21" i="31" s="1"/>
  <c r="N20" i="31" s="1"/>
  <c r="D21" i="23"/>
  <c r="F21" i="23" s="1"/>
  <c r="S21" i="23"/>
  <c r="BO21" i="31" s="1"/>
  <c r="AQ21" i="31" s="1"/>
  <c r="L21" i="23"/>
  <c r="BH21" i="31" s="1"/>
  <c r="AJ21" i="31" s="1"/>
  <c r="L20" i="31" s="1"/>
  <c r="U21" i="23"/>
  <c r="BQ21" i="31" s="1"/>
  <c r="P21" i="23"/>
  <c r="BL21" i="31" s="1"/>
  <c r="AN21" i="31" s="1"/>
  <c r="P20" i="31" s="1"/>
  <c r="E21" i="23"/>
  <c r="Q21" i="23"/>
  <c r="BM21" i="31" s="1"/>
  <c r="AO21" i="31" s="1"/>
  <c r="Q20" i="31" s="1"/>
  <c r="O21" i="23"/>
  <c r="BK21" i="31" s="1"/>
  <c r="AM21" i="31" s="1"/>
  <c r="O20" i="31" s="1"/>
  <c r="M21" i="23"/>
  <c r="BI21" i="31" s="1"/>
  <c r="AK21" i="31" s="1"/>
  <c r="AL22" i="23"/>
  <c r="BH21" i="23"/>
  <c r="AR21" i="23"/>
  <c r="AO21" i="23"/>
  <c r="AM21" i="23"/>
  <c r="AP21" i="23"/>
  <c r="AS21" i="23"/>
  <c r="AQ21" i="23"/>
  <c r="AN21" i="23"/>
  <c r="AU21" i="23"/>
  <c r="AV21" i="23"/>
  <c r="AT21" i="23"/>
  <c r="H16" i="5" a="1"/>
  <c r="H16" i="5" s="1"/>
  <c r="G16" i="5" s="1"/>
  <c r="C17" i="5"/>
  <c r="R16" i="5"/>
  <c r="AR19" i="31"/>
  <c r="AR18" i="31"/>
  <c r="AR20" i="31"/>
  <c r="AV28" i="23"/>
  <c r="AW11" i="23"/>
  <c r="AV14" i="23"/>
  <c r="AV12" i="23"/>
  <c r="AV13" i="23"/>
  <c r="AV15" i="23"/>
  <c r="AV16" i="23"/>
  <c r="AV17" i="23"/>
  <c r="AV18" i="23"/>
  <c r="AV19" i="23"/>
  <c r="AR17" i="31"/>
  <c r="AR14" i="31"/>
  <c r="AR15" i="31"/>
  <c r="U20" i="23"/>
  <c r="BQ20" i="31" s="1"/>
  <c r="AV20" i="23"/>
  <c r="M19" i="31"/>
  <c r="P19" i="31"/>
  <c r="AR16" i="31"/>
  <c r="G21" i="23"/>
  <c r="C22" i="23"/>
  <c r="N19" i="31"/>
  <c r="AS21" i="31" l="1"/>
  <c r="AS18" i="31"/>
  <c r="AS17" i="31"/>
  <c r="AS14" i="31"/>
  <c r="AS16" i="31"/>
  <c r="T16" i="31" s="1"/>
  <c r="AS15" i="31"/>
  <c r="T15" i="31" s="1"/>
  <c r="AS13" i="31"/>
  <c r="T13" i="31" s="1"/>
  <c r="AS20" i="31"/>
  <c r="T20" i="31" s="1"/>
  <c r="AS19" i="31"/>
  <c r="G22" i="23"/>
  <c r="C23" i="23"/>
  <c r="S17" i="31"/>
  <c r="S19" i="31"/>
  <c r="K23" i="23"/>
  <c r="AG22" i="23"/>
  <c r="BG22" i="31"/>
  <c r="AI22" i="31" s="1"/>
  <c r="K22" i="31" s="1"/>
  <c r="V22" i="23"/>
  <c r="BR22" i="31" s="1"/>
  <c r="Q22" i="23"/>
  <c r="BM22" i="31" s="1"/>
  <c r="AO22" i="31" s="1"/>
  <c r="Q21" i="31" s="1"/>
  <c r="U22" i="23"/>
  <c r="BQ22" i="31" s="1"/>
  <c r="AS22" i="31" s="1"/>
  <c r="P22" i="23"/>
  <c r="BL22" i="31" s="1"/>
  <c r="AN22" i="31" s="1"/>
  <c r="D22" i="23"/>
  <c r="F22" i="23" s="1"/>
  <c r="S22" i="23"/>
  <c r="BO22" i="31" s="1"/>
  <c r="AQ22" i="31" s="1"/>
  <c r="S21" i="31" s="1"/>
  <c r="N22" i="23"/>
  <c r="BJ22" i="31" s="1"/>
  <c r="AL22" i="31" s="1"/>
  <c r="N21" i="31" s="1"/>
  <c r="M22" i="23"/>
  <c r="BI22" i="31" s="1"/>
  <c r="AK22" i="31" s="1"/>
  <c r="M21" i="31" s="1"/>
  <c r="R22" i="23"/>
  <c r="BN22" i="31" s="1"/>
  <c r="AP22" i="31" s="1"/>
  <c r="R21" i="31" s="1"/>
  <c r="L22" i="23"/>
  <c r="BH22" i="31" s="1"/>
  <c r="AJ22" i="31" s="1"/>
  <c r="O22" i="23"/>
  <c r="BK22" i="31" s="1"/>
  <c r="AM22" i="31" s="1"/>
  <c r="O21" i="31" s="1"/>
  <c r="T22" i="23"/>
  <c r="BP22" i="31" s="1"/>
  <c r="AR22" i="31" s="1"/>
  <c r="E22" i="23"/>
  <c r="BH22" i="23"/>
  <c r="AL23" i="23"/>
  <c r="AP22" i="23"/>
  <c r="AN22" i="23"/>
  <c r="AM22" i="23"/>
  <c r="AQ22" i="23"/>
  <c r="AO22" i="23"/>
  <c r="AR22" i="23"/>
  <c r="AS22" i="23"/>
  <c r="AU22" i="23"/>
  <c r="AV22" i="23"/>
  <c r="AW22" i="23"/>
  <c r="AT22" i="23"/>
  <c r="H17" i="5" a="1"/>
  <c r="H17" i="5" s="1"/>
  <c r="G17" i="5" s="1"/>
  <c r="R17" i="5"/>
  <c r="C18" i="5"/>
  <c r="S18" i="31"/>
  <c r="S20" i="31"/>
  <c r="S16" i="31"/>
  <c r="AX11" i="23"/>
  <c r="AW28" i="23"/>
  <c r="AW12" i="23"/>
  <c r="AW15" i="23"/>
  <c r="AW14" i="23"/>
  <c r="AW13" i="23"/>
  <c r="AW16" i="23"/>
  <c r="AW17" i="23"/>
  <c r="AW18" i="23"/>
  <c r="AW19" i="23"/>
  <c r="AW20" i="23"/>
  <c r="S14" i="31"/>
  <c r="T12" i="31"/>
  <c r="S12" i="31"/>
  <c r="S15" i="31"/>
  <c r="M20" i="31"/>
  <c r="V28" i="23"/>
  <c r="W11" i="23"/>
  <c r="BR11" i="31"/>
  <c r="AT11" i="31" s="1"/>
  <c r="V11" i="31" s="1"/>
  <c r="V14" i="23"/>
  <c r="BR14" i="31" s="1"/>
  <c r="V13" i="23"/>
  <c r="BR13" i="31" s="1"/>
  <c r="V12" i="23"/>
  <c r="BR12" i="31" s="1"/>
  <c r="V15" i="23"/>
  <c r="BR15" i="31" s="1"/>
  <c r="V16" i="23"/>
  <c r="BR16" i="31" s="1"/>
  <c r="V17" i="23"/>
  <c r="BR17" i="31" s="1"/>
  <c r="V18" i="23"/>
  <c r="BR18" i="31" s="1"/>
  <c r="V19" i="23"/>
  <c r="BR19" i="31" s="1"/>
  <c r="V20" i="23"/>
  <c r="BR20" i="31" s="1"/>
  <c r="AW21" i="23"/>
  <c r="T17" i="31" l="1"/>
  <c r="T18" i="31"/>
  <c r="T14" i="31"/>
  <c r="AT13" i="31"/>
  <c r="T19" i="31"/>
  <c r="T21" i="31"/>
  <c r="P21" i="31"/>
  <c r="AT14" i="31"/>
  <c r="AT22" i="31"/>
  <c r="AX28" i="23"/>
  <c r="AY11" i="23"/>
  <c r="AY23" i="23" s="1"/>
  <c r="AX13" i="23"/>
  <c r="AX12" i="23"/>
  <c r="AX15" i="23"/>
  <c r="AX14" i="23"/>
  <c r="AX16" i="23"/>
  <c r="AX17" i="23"/>
  <c r="AX18" i="23"/>
  <c r="AX19" i="23"/>
  <c r="AX20" i="23"/>
  <c r="AX21" i="23"/>
  <c r="AG23" i="23"/>
  <c r="K24" i="23"/>
  <c r="BG23" i="31"/>
  <c r="AI23" i="31" s="1"/>
  <c r="K23" i="31" s="1"/>
  <c r="M23" i="23"/>
  <c r="BI23" i="31" s="1"/>
  <c r="AK23" i="31" s="1"/>
  <c r="W23" i="23"/>
  <c r="BS23" i="31" s="1"/>
  <c r="R23" i="23"/>
  <c r="BN23" i="31" s="1"/>
  <c r="AP23" i="31" s="1"/>
  <c r="V23" i="23"/>
  <c r="BR23" i="31" s="1"/>
  <c r="AT23" i="31" s="1"/>
  <c r="O23" i="23"/>
  <c r="BK23" i="31" s="1"/>
  <c r="AM23" i="31" s="1"/>
  <c r="O22" i="31" s="1"/>
  <c r="U23" i="23"/>
  <c r="BQ23" i="31" s="1"/>
  <c r="AS23" i="31" s="1"/>
  <c r="D23" i="23"/>
  <c r="F23" i="23" s="1"/>
  <c r="T23" i="23"/>
  <c r="BP23" i="31" s="1"/>
  <c r="AR23" i="31" s="1"/>
  <c r="P23" i="23"/>
  <c r="BL23" i="31" s="1"/>
  <c r="AN23" i="31" s="1"/>
  <c r="L23" i="23"/>
  <c r="BH23" i="31" s="1"/>
  <c r="AJ23" i="31" s="1"/>
  <c r="S23" i="23"/>
  <c r="BO23" i="31" s="1"/>
  <c r="AQ23" i="31" s="1"/>
  <c r="E23" i="23"/>
  <c r="Q23" i="23"/>
  <c r="BM23" i="31" s="1"/>
  <c r="AO23" i="31" s="1"/>
  <c r="N23" i="23"/>
  <c r="BJ23" i="31" s="1"/>
  <c r="AL23" i="31" s="1"/>
  <c r="N22" i="31" s="1"/>
  <c r="X11" i="23"/>
  <c r="BS11" i="31"/>
  <c r="AU11" i="31" s="1"/>
  <c r="W11" i="31" s="1"/>
  <c r="W28" i="23"/>
  <c r="W12" i="23"/>
  <c r="BS12" i="31" s="1"/>
  <c r="W16" i="23"/>
  <c r="BS16" i="31" s="1"/>
  <c r="W13" i="23"/>
  <c r="BS13" i="31" s="1"/>
  <c r="W14" i="23"/>
  <c r="BS14" i="31" s="1"/>
  <c r="W15" i="23"/>
  <c r="BS15" i="31" s="1"/>
  <c r="W17" i="23"/>
  <c r="BS17" i="31" s="1"/>
  <c r="W18" i="23"/>
  <c r="BS18" i="31" s="1"/>
  <c r="W19" i="23"/>
  <c r="BS19" i="31" s="1"/>
  <c r="W20" i="23"/>
  <c r="BS20" i="31" s="1"/>
  <c r="W21" i="23"/>
  <c r="BS21" i="31" s="1"/>
  <c r="AT19" i="31"/>
  <c r="L21" i="31"/>
  <c r="AT18" i="31"/>
  <c r="AL24" i="23"/>
  <c r="BH23" i="23"/>
  <c r="AP23" i="23"/>
  <c r="AQ23" i="23"/>
  <c r="AM23" i="23"/>
  <c r="AR23" i="23"/>
  <c r="AO23" i="23"/>
  <c r="AN23" i="23"/>
  <c r="AW23" i="23"/>
  <c r="AU23" i="23"/>
  <c r="AX23" i="23"/>
  <c r="AS23" i="23"/>
  <c r="AV23" i="23"/>
  <c r="AT23" i="23"/>
  <c r="AT21" i="31"/>
  <c r="AX22" i="23"/>
  <c r="G23" i="23"/>
  <c r="C24" i="23"/>
  <c r="AT16" i="31"/>
  <c r="AT20" i="31"/>
  <c r="AT15" i="31"/>
  <c r="W22" i="23"/>
  <c r="BS22" i="31" s="1"/>
  <c r="AT17" i="31"/>
  <c r="AT12" i="31"/>
  <c r="H18" i="5" a="1"/>
  <c r="H18" i="5" s="1"/>
  <c r="G18" i="5" s="1"/>
  <c r="C19" i="5"/>
  <c r="R18" i="5"/>
  <c r="U13" i="31" l="1"/>
  <c r="T22" i="31"/>
  <c r="S22" i="31"/>
  <c r="U14" i="31"/>
  <c r="BT11" i="31"/>
  <c r="AV11" i="31" s="1"/>
  <c r="X11" i="31" s="1"/>
  <c r="Y11" i="23"/>
  <c r="Y24" i="23" s="1"/>
  <c r="BU24" i="31" s="1"/>
  <c r="X28" i="23"/>
  <c r="X14" i="23"/>
  <c r="BT14" i="31" s="1"/>
  <c r="X12" i="23"/>
  <c r="BT12" i="31" s="1"/>
  <c r="X15" i="23"/>
  <c r="BT15" i="31" s="1"/>
  <c r="X13" i="23"/>
  <c r="BT13" i="31" s="1"/>
  <c r="X16" i="23"/>
  <c r="BT16" i="31" s="1"/>
  <c r="X17" i="23"/>
  <c r="BT17" i="31" s="1"/>
  <c r="X18" i="23"/>
  <c r="BT18" i="31" s="1"/>
  <c r="X19" i="23"/>
  <c r="BT19" i="31" s="1"/>
  <c r="X20" i="23"/>
  <c r="BT20" i="31" s="1"/>
  <c r="X21" i="23"/>
  <c r="BT21" i="31" s="1"/>
  <c r="X22" i="23"/>
  <c r="BT22" i="31" s="1"/>
  <c r="U16" i="31"/>
  <c r="U19" i="31"/>
  <c r="X23" i="23"/>
  <c r="BT23" i="31" s="1"/>
  <c r="AU21" i="31"/>
  <c r="AU20" i="31"/>
  <c r="C20" i="5"/>
  <c r="H19" i="5" a="1"/>
  <c r="H19" i="5" s="1"/>
  <c r="G19" i="5" s="1"/>
  <c r="R19" i="5"/>
  <c r="AU23" i="31"/>
  <c r="AZ11" i="23"/>
  <c r="AY28" i="23"/>
  <c r="AY15" i="23"/>
  <c r="AY13" i="23"/>
  <c r="AY14" i="23"/>
  <c r="AY12" i="23"/>
  <c r="AY16" i="23"/>
  <c r="AY17" i="23"/>
  <c r="AY18" i="23"/>
  <c r="AY19" i="23"/>
  <c r="AY20" i="23"/>
  <c r="AY21" i="23"/>
  <c r="AY22" i="23"/>
  <c r="AU17" i="31"/>
  <c r="AU15" i="31"/>
  <c r="U22" i="31"/>
  <c r="AU14" i="31"/>
  <c r="AG24" i="23"/>
  <c r="BG24" i="31"/>
  <c r="AI24" i="31" s="1"/>
  <c r="K24" i="31" s="1"/>
  <c r="K25" i="23"/>
  <c r="T24" i="23"/>
  <c r="BP24" i="31" s="1"/>
  <c r="AR24" i="31" s="1"/>
  <c r="X24" i="23"/>
  <c r="BT24" i="31" s="1"/>
  <c r="E24" i="23"/>
  <c r="O24" i="23"/>
  <c r="BK24" i="31" s="1"/>
  <c r="AM24" i="31" s="1"/>
  <c r="L24" i="23"/>
  <c r="BH24" i="31" s="1"/>
  <c r="AJ24" i="31" s="1"/>
  <c r="L23" i="31" s="1"/>
  <c r="U24" i="23"/>
  <c r="BQ24" i="31" s="1"/>
  <c r="AS24" i="31" s="1"/>
  <c r="D24" i="23"/>
  <c r="F24" i="23" s="1"/>
  <c r="W24" i="23"/>
  <c r="BS24" i="31" s="1"/>
  <c r="AU24" i="31" s="1"/>
  <c r="N24" i="23"/>
  <c r="BJ24" i="31" s="1"/>
  <c r="AL24" i="31" s="1"/>
  <c r="S24" i="23"/>
  <c r="BO24" i="31" s="1"/>
  <c r="AQ24" i="31" s="1"/>
  <c r="P24" i="23"/>
  <c r="BL24" i="31" s="1"/>
  <c r="AN24" i="31" s="1"/>
  <c r="R24" i="23"/>
  <c r="BN24" i="31" s="1"/>
  <c r="AP24" i="31" s="1"/>
  <c r="Q24" i="23"/>
  <c r="BM24" i="31" s="1"/>
  <c r="AO24" i="31" s="1"/>
  <c r="M24" i="23"/>
  <c r="BI24" i="31" s="1"/>
  <c r="AK24" i="31" s="1"/>
  <c r="M23" i="31" s="1"/>
  <c r="V24" i="23"/>
  <c r="BR24" i="31" s="1"/>
  <c r="AT24" i="31" s="1"/>
  <c r="U21" i="31"/>
  <c r="AU13" i="31"/>
  <c r="G24" i="23"/>
  <c r="C25" i="23"/>
  <c r="U17" i="31"/>
  <c r="U15" i="31"/>
  <c r="U18" i="31"/>
  <c r="AU16" i="31"/>
  <c r="M22" i="31"/>
  <c r="R22" i="31"/>
  <c r="U12" i="31"/>
  <c r="AU19" i="31"/>
  <c r="AL25" i="23"/>
  <c r="BH24" i="23"/>
  <c r="AR24" i="23"/>
  <c r="AP24" i="23"/>
  <c r="AN24" i="23"/>
  <c r="AO24" i="23"/>
  <c r="AM24" i="23"/>
  <c r="AQ24" i="23"/>
  <c r="AV24" i="23"/>
  <c r="AS24" i="23"/>
  <c r="AY24" i="23"/>
  <c r="AX24" i="23"/>
  <c r="AW24" i="23"/>
  <c r="AU24" i="23"/>
  <c r="AT24" i="23"/>
  <c r="AU12" i="31"/>
  <c r="Q22" i="31"/>
  <c r="AU22" i="31"/>
  <c r="AU18" i="31"/>
  <c r="U20" i="31"/>
  <c r="P22" i="31"/>
  <c r="L22" i="31"/>
  <c r="V15" i="31" l="1"/>
  <c r="AV21" i="31"/>
  <c r="AV24" i="31"/>
  <c r="AV23" i="31"/>
  <c r="AV16" i="31"/>
  <c r="AV13" i="31"/>
  <c r="AV22" i="31"/>
  <c r="W22" i="31" s="1"/>
  <c r="AV19" i="31"/>
  <c r="AV18" i="31"/>
  <c r="T23" i="31"/>
  <c r="V21" i="31"/>
  <c r="AV17" i="31"/>
  <c r="W17" i="31" s="1"/>
  <c r="AV15" i="31"/>
  <c r="W15" i="31" s="1"/>
  <c r="AV12" i="31"/>
  <c r="AV14" i="31"/>
  <c r="AV20" i="31"/>
  <c r="W20" i="31" s="1"/>
  <c r="V20" i="31"/>
  <c r="V16" i="31"/>
  <c r="C21" i="5"/>
  <c r="R20" i="5"/>
  <c r="H20" i="5" a="1"/>
  <c r="H20" i="5" s="1"/>
  <c r="G20" i="5" s="1"/>
  <c r="R23" i="31"/>
  <c r="AG25" i="23"/>
  <c r="BG25" i="31"/>
  <c r="AI25" i="31" s="1"/>
  <c r="K25" i="31" s="1"/>
  <c r="K26" i="23"/>
  <c r="U25" i="23"/>
  <c r="BQ25" i="31" s="1"/>
  <c r="AS25" i="31" s="1"/>
  <c r="U24" i="31" s="1"/>
  <c r="T25" i="23"/>
  <c r="BP25" i="31" s="1"/>
  <c r="AR25" i="31" s="1"/>
  <c r="R25" i="23"/>
  <c r="BN25" i="31" s="1"/>
  <c r="AP25" i="31" s="1"/>
  <c r="D25" i="23"/>
  <c r="F25" i="23" s="1"/>
  <c r="N25" i="23"/>
  <c r="BJ25" i="31" s="1"/>
  <c r="AL25" i="31" s="1"/>
  <c r="N24" i="31" s="1"/>
  <c r="Q25" i="23"/>
  <c r="BM25" i="31" s="1"/>
  <c r="AO25" i="31" s="1"/>
  <c r="P25" i="23"/>
  <c r="BL25" i="31" s="1"/>
  <c r="AN25" i="31" s="1"/>
  <c r="P24" i="31" s="1"/>
  <c r="L25" i="23"/>
  <c r="BH25" i="31" s="1"/>
  <c r="AJ25" i="31" s="1"/>
  <c r="L24" i="31" s="1"/>
  <c r="Y25" i="23"/>
  <c r="BU25" i="31" s="1"/>
  <c r="V25" i="23"/>
  <c r="BR25" i="31" s="1"/>
  <c r="AT25" i="31" s="1"/>
  <c r="S25" i="23"/>
  <c r="BO25" i="31" s="1"/>
  <c r="AQ25" i="31" s="1"/>
  <c r="W25" i="23"/>
  <c r="BS25" i="31" s="1"/>
  <c r="AU25" i="31" s="1"/>
  <c r="X25" i="23"/>
  <c r="BT25" i="31" s="1"/>
  <c r="AV25" i="31" s="1"/>
  <c r="O25" i="23"/>
  <c r="BK25" i="31" s="1"/>
  <c r="AM25" i="31" s="1"/>
  <c r="M25" i="23"/>
  <c r="BI25" i="31" s="1"/>
  <c r="AK25" i="31" s="1"/>
  <c r="E25" i="23"/>
  <c r="Q23" i="31"/>
  <c r="V23" i="31"/>
  <c r="N23" i="31"/>
  <c r="V18" i="31"/>
  <c r="V14" i="31"/>
  <c r="P23" i="31"/>
  <c r="AZ28" i="23"/>
  <c r="BA11" i="23"/>
  <c r="AZ14" i="23"/>
  <c r="AZ12" i="23"/>
  <c r="AZ13" i="23"/>
  <c r="AZ15" i="23"/>
  <c r="AZ16" i="23"/>
  <c r="AZ17" i="23"/>
  <c r="AZ18" i="23"/>
  <c r="AZ19" i="23"/>
  <c r="AZ20" i="23"/>
  <c r="AZ21" i="23"/>
  <c r="AZ22" i="23"/>
  <c r="AZ23" i="23"/>
  <c r="G25" i="23"/>
  <c r="C26" i="23"/>
  <c r="BH25" i="23"/>
  <c r="AL26" i="23"/>
  <c r="AP25" i="23"/>
  <c r="AN25" i="23"/>
  <c r="AO25" i="23"/>
  <c r="AM25" i="23"/>
  <c r="AQ25" i="23"/>
  <c r="AU25" i="23"/>
  <c r="AW25" i="23"/>
  <c r="AS25" i="23"/>
  <c r="AV25" i="23"/>
  <c r="AY25" i="23"/>
  <c r="AZ25" i="23"/>
  <c r="AT25" i="23"/>
  <c r="AX25" i="23"/>
  <c r="AR25" i="23"/>
  <c r="V13" i="31"/>
  <c r="S23" i="31"/>
  <c r="V22" i="31"/>
  <c r="V12" i="31"/>
  <c r="V19" i="31"/>
  <c r="V17" i="31"/>
  <c r="O23" i="31"/>
  <c r="BU11" i="31"/>
  <c r="AW11" i="31" s="1"/>
  <c r="Y11" i="31" s="1"/>
  <c r="Z11" i="23"/>
  <c r="Z25" i="23" s="1"/>
  <c r="BV25" i="31" s="1"/>
  <c r="Y28" i="23"/>
  <c r="Y14" i="23"/>
  <c r="BU14" i="31" s="1"/>
  <c r="Y16" i="23"/>
  <c r="BU16" i="31" s="1"/>
  <c r="Y13" i="23"/>
  <c r="BU13" i="31" s="1"/>
  <c r="Y15" i="23"/>
  <c r="BU15" i="31" s="1"/>
  <c r="Y12" i="23"/>
  <c r="BU12" i="31" s="1"/>
  <c r="Y17" i="23"/>
  <c r="BU17" i="31" s="1"/>
  <c r="Y18" i="23"/>
  <c r="BU18" i="31" s="1"/>
  <c r="Y19" i="23"/>
  <c r="BU19" i="31" s="1"/>
  <c r="Y20" i="23"/>
  <c r="BU20" i="31" s="1"/>
  <c r="Y21" i="23"/>
  <c r="BU21" i="31" s="1"/>
  <c r="Y22" i="23"/>
  <c r="BU22" i="31" s="1"/>
  <c r="Y23" i="23"/>
  <c r="BU23" i="31" s="1"/>
  <c r="AZ24" i="23"/>
  <c r="U23" i="31"/>
  <c r="W21" i="31" l="1"/>
  <c r="W18" i="31"/>
  <c r="AW21" i="31"/>
  <c r="AW19" i="31"/>
  <c r="W13" i="31"/>
  <c r="W16" i="31"/>
  <c r="W12" i="31"/>
  <c r="W23" i="31"/>
  <c r="W24" i="31"/>
  <c r="T24" i="31"/>
  <c r="R24" i="31"/>
  <c r="W14" i="31"/>
  <c r="W19" i="31"/>
  <c r="AW20" i="31"/>
  <c r="X20" i="31" s="1"/>
  <c r="AW17" i="31"/>
  <c r="AW12" i="31"/>
  <c r="AW15" i="31"/>
  <c r="AW18" i="31"/>
  <c r="X18" i="31" s="1"/>
  <c r="AW13" i="31"/>
  <c r="AW14" i="31"/>
  <c r="AW16" i="31"/>
  <c r="AW24" i="31"/>
  <c r="X24" i="31" s="1"/>
  <c r="AW25" i="31"/>
  <c r="G26" i="23"/>
  <c r="C27" i="23"/>
  <c r="G27" i="23" s="1"/>
  <c r="S24" i="31"/>
  <c r="AL27" i="23"/>
  <c r="BH26" i="23"/>
  <c r="AQ26" i="23"/>
  <c r="AM26" i="23"/>
  <c r="AP26" i="23"/>
  <c r="AN26" i="23"/>
  <c r="AO26" i="23"/>
  <c r="AY26" i="23"/>
  <c r="AW26" i="23"/>
  <c r="BA26" i="23"/>
  <c r="AV26" i="23"/>
  <c r="AT26" i="23"/>
  <c r="AZ26" i="23"/>
  <c r="AR26" i="23"/>
  <c r="AS26" i="23"/>
  <c r="AU26" i="23"/>
  <c r="AX26" i="23"/>
  <c r="C22" i="5"/>
  <c r="H21" i="5" a="1"/>
  <c r="H21" i="5" s="1"/>
  <c r="G21" i="5" s="1"/>
  <c r="R21" i="5"/>
  <c r="BA28" i="23"/>
  <c r="BB11" i="23"/>
  <c r="BB26" i="23" s="1"/>
  <c r="BA13" i="23"/>
  <c r="BA12" i="23"/>
  <c r="BA14" i="23"/>
  <c r="BA15" i="23"/>
  <c r="BA16" i="23"/>
  <c r="BA17" i="23"/>
  <c r="BA18" i="23"/>
  <c r="BA19" i="23"/>
  <c r="BA20" i="23"/>
  <c r="BA21" i="23"/>
  <c r="BA22" i="23"/>
  <c r="BA23" i="23"/>
  <c r="BA24" i="23"/>
  <c r="M24" i="31"/>
  <c r="BA25" i="23"/>
  <c r="AW23" i="31"/>
  <c r="O24" i="31"/>
  <c r="BG26" i="31"/>
  <c r="AI26" i="31" s="1"/>
  <c r="K26" i="31" s="1"/>
  <c r="AG26" i="23"/>
  <c r="K27" i="23"/>
  <c r="S26" i="23"/>
  <c r="BO26" i="31" s="1"/>
  <c r="AQ26" i="31" s="1"/>
  <c r="R26" i="23"/>
  <c r="BN26" i="31" s="1"/>
  <c r="AP26" i="31" s="1"/>
  <c r="N26" i="23"/>
  <c r="BJ26" i="31" s="1"/>
  <c r="AL26" i="31" s="1"/>
  <c r="U26" i="23"/>
  <c r="BQ26" i="31" s="1"/>
  <c r="AS26" i="31" s="1"/>
  <c r="W26" i="23"/>
  <c r="BS26" i="31" s="1"/>
  <c r="AU26" i="31" s="1"/>
  <c r="Y26" i="23"/>
  <c r="BU26" i="31" s="1"/>
  <c r="AW26" i="31" s="1"/>
  <c r="T26" i="23"/>
  <c r="BP26" i="31" s="1"/>
  <c r="AR26" i="31" s="1"/>
  <c r="E26" i="23"/>
  <c r="M26" i="23"/>
  <c r="BI26" i="31" s="1"/>
  <c r="AK26" i="31" s="1"/>
  <c r="O26" i="23"/>
  <c r="BK26" i="31" s="1"/>
  <c r="AM26" i="31" s="1"/>
  <c r="X26" i="23"/>
  <c r="BT26" i="31" s="1"/>
  <c r="AV26" i="31" s="1"/>
  <c r="D26" i="23"/>
  <c r="F26" i="23" s="1"/>
  <c r="V26" i="23"/>
  <c r="BR26" i="31" s="1"/>
  <c r="AT26" i="31" s="1"/>
  <c r="P26" i="23"/>
  <c r="BL26" i="31" s="1"/>
  <c r="AN26" i="31" s="1"/>
  <c r="Q26" i="23"/>
  <c r="BM26" i="31" s="1"/>
  <c r="AO26" i="31" s="1"/>
  <c r="L26" i="23"/>
  <c r="BH26" i="31" s="1"/>
  <c r="AJ26" i="31" s="1"/>
  <c r="L25" i="31" s="1"/>
  <c r="Z26" i="23"/>
  <c r="BV26" i="31" s="1"/>
  <c r="BV11" i="31"/>
  <c r="AX11" i="31" s="1"/>
  <c r="Z11" i="31" s="1"/>
  <c r="Z28" i="23"/>
  <c r="AA11" i="23"/>
  <c r="Z16" i="23"/>
  <c r="BV16" i="31" s="1"/>
  <c r="Z13" i="23"/>
  <c r="BV13" i="31" s="1"/>
  <c r="Z12" i="23"/>
  <c r="BV12" i="31" s="1"/>
  <c r="Z15" i="23"/>
  <c r="BV15" i="31" s="1"/>
  <c r="Z14" i="23"/>
  <c r="BV14" i="31" s="1"/>
  <c r="Z17" i="23"/>
  <c r="BV17" i="31" s="1"/>
  <c r="Z18" i="23"/>
  <c r="BV18" i="31" s="1"/>
  <c r="Z19" i="23"/>
  <c r="BV19" i="31" s="1"/>
  <c r="Z20" i="23"/>
  <c r="BV20" i="31" s="1"/>
  <c r="Z21" i="23"/>
  <c r="BV21" i="31" s="1"/>
  <c r="Z22" i="23"/>
  <c r="BV22" i="31" s="1"/>
  <c r="Z23" i="23"/>
  <c r="BV23" i="31" s="1"/>
  <c r="Z24" i="23"/>
  <c r="BV24" i="31" s="1"/>
  <c r="V24" i="31"/>
  <c r="AW22" i="31"/>
  <c r="Q24" i="31"/>
  <c r="W25" i="31" l="1"/>
  <c r="Q25" i="31"/>
  <c r="X21" i="31"/>
  <c r="X17" i="31"/>
  <c r="X14" i="31"/>
  <c r="X19" i="31"/>
  <c r="X16" i="31"/>
  <c r="X12" i="31"/>
  <c r="X13" i="31"/>
  <c r="U25" i="31"/>
  <c r="X15" i="31"/>
  <c r="AX16" i="31"/>
  <c r="Y16" i="31" s="1"/>
  <c r="AX24" i="31"/>
  <c r="AX13" i="31"/>
  <c r="X25" i="31"/>
  <c r="AX23" i="31"/>
  <c r="AX26" i="31"/>
  <c r="AX12" i="31"/>
  <c r="AA28" i="23"/>
  <c r="AB11" i="23"/>
  <c r="AB27" i="23" s="1"/>
  <c r="BX27" i="31" s="1"/>
  <c r="BW11" i="31"/>
  <c r="AY11" i="31" s="1"/>
  <c r="AA11" i="31" s="1"/>
  <c r="AA12" i="23"/>
  <c r="BW12" i="31" s="1"/>
  <c r="AA13" i="23"/>
  <c r="BW13" i="31" s="1"/>
  <c r="AA15" i="23"/>
  <c r="BW15" i="31" s="1"/>
  <c r="AA16" i="23"/>
  <c r="BW16" i="31" s="1"/>
  <c r="AA14" i="23"/>
  <c r="BW14" i="31" s="1"/>
  <c r="AA17" i="23"/>
  <c r="BW17" i="31" s="1"/>
  <c r="AA18" i="23"/>
  <c r="BW18" i="31" s="1"/>
  <c r="AA19" i="23"/>
  <c r="BW19" i="31" s="1"/>
  <c r="AA20" i="23"/>
  <c r="BW20" i="31" s="1"/>
  <c r="AA21" i="23"/>
  <c r="BW21" i="31" s="1"/>
  <c r="AA22" i="23"/>
  <c r="BW22" i="31" s="1"/>
  <c r="AA23" i="23"/>
  <c r="BW23" i="31" s="1"/>
  <c r="AA24" i="23"/>
  <c r="BW24" i="31" s="1"/>
  <c r="AA25" i="23"/>
  <c r="BW25" i="31" s="1"/>
  <c r="AA26" i="23"/>
  <c r="BW26" i="31" s="1"/>
  <c r="BH27" i="23"/>
  <c r="AN27" i="23"/>
  <c r="AP27" i="23"/>
  <c r="AM27" i="23"/>
  <c r="AO27" i="23"/>
  <c r="AV27" i="23"/>
  <c r="AU27" i="23"/>
  <c r="AT27" i="23"/>
  <c r="BB27" i="23"/>
  <c r="AW27" i="23"/>
  <c r="AQ27" i="23"/>
  <c r="AS27" i="23"/>
  <c r="BA27" i="23"/>
  <c r="AZ27" i="23"/>
  <c r="AR27" i="23"/>
  <c r="AY27" i="23"/>
  <c r="AX27" i="23"/>
  <c r="C23" i="5"/>
  <c r="H22" i="5" a="1"/>
  <c r="H22" i="5" s="1"/>
  <c r="G22" i="5" s="1"/>
  <c r="R22" i="5"/>
  <c r="T25" i="31"/>
  <c r="M25" i="31"/>
  <c r="BB28" i="23"/>
  <c r="BC11" i="23"/>
  <c r="BC27" i="23" s="1"/>
  <c r="BB13" i="23"/>
  <c r="BB12" i="23"/>
  <c r="BB15" i="23"/>
  <c r="BB16" i="23"/>
  <c r="BB14" i="23"/>
  <c r="BB17" i="23"/>
  <c r="BB18" i="23"/>
  <c r="BB19" i="23"/>
  <c r="BB20" i="23"/>
  <c r="BB21" i="23"/>
  <c r="BB22" i="23"/>
  <c r="BB23" i="23"/>
  <c r="BB24" i="23"/>
  <c r="BB25" i="23"/>
  <c r="V25" i="31"/>
  <c r="X23" i="31"/>
  <c r="AX20" i="31"/>
  <c r="AX19" i="31"/>
  <c r="AX17" i="31"/>
  <c r="AG27" i="23"/>
  <c r="BG27" i="31"/>
  <c r="AI27" i="31" s="1"/>
  <c r="K27" i="31" s="1"/>
  <c r="W27" i="23"/>
  <c r="BS27" i="31" s="1"/>
  <c r="AU27" i="31" s="1"/>
  <c r="AA27" i="23"/>
  <c r="BW27" i="31" s="1"/>
  <c r="N27" i="23"/>
  <c r="BJ27" i="31" s="1"/>
  <c r="AL27" i="31" s="1"/>
  <c r="E27" i="23"/>
  <c r="X27" i="23"/>
  <c r="BT27" i="31" s="1"/>
  <c r="AV27" i="31" s="1"/>
  <c r="Q27" i="23"/>
  <c r="BM27" i="31" s="1"/>
  <c r="AO27" i="31" s="1"/>
  <c r="Y27" i="23"/>
  <c r="BU27" i="31" s="1"/>
  <c r="AW27" i="31" s="1"/>
  <c r="U27" i="23"/>
  <c r="BQ27" i="31" s="1"/>
  <c r="AS27" i="31" s="1"/>
  <c r="T27" i="23"/>
  <c r="BP27" i="31" s="1"/>
  <c r="AR27" i="31" s="1"/>
  <c r="S27" i="23"/>
  <c r="BO27" i="31" s="1"/>
  <c r="AQ27" i="31" s="1"/>
  <c r="V27" i="23"/>
  <c r="BR27" i="31" s="1"/>
  <c r="AT27" i="31" s="1"/>
  <c r="V26" i="31" s="1"/>
  <c r="M27" i="23"/>
  <c r="BI27" i="31" s="1"/>
  <c r="AK27" i="31" s="1"/>
  <c r="M26" i="31" s="1"/>
  <c r="D27" i="23"/>
  <c r="F27" i="23" s="1"/>
  <c r="O27" i="23"/>
  <c r="BK27" i="31" s="1"/>
  <c r="AM27" i="31" s="1"/>
  <c r="R27" i="23"/>
  <c r="BN27" i="31" s="1"/>
  <c r="AP27" i="31" s="1"/>
  <c r="L27" i="23"/>
  <c r="BH27" i="31" s="1"/>
  <c r="AJ27" i="31" s="1"/>
  <c r="L26" i="31" s="1"/>
  <c r="P27" i="23"/>
  <c r="BL27" i="31" s="1"/>
  <c r="AN27" i="31" s="1"/>
  <c r="P26" i="31" s="1"/>
  <c r="Z27" i="23"/>
  <c r="BV27" i="31" s="1"/>
  <c r="AX27" i="31" s="1"/>
  <c r="R25" i="31"/>
  <c r="O25" i="31"/>
  <c r="P25" i="31"/>
  <c r="AX22" i="31"/>
  <c r="Y22" i="31" s="1"/>
  <c r="AX14" i="31"/>
  <c r="N25" i="31"/>
  <c r="S25" i="31"/>
  <c r="X22" i="31"/>
  <c r="AX21" i="31"/>
  <c r="AX18" i="31"/>
  <c r="AX15" i="31"/>
  <c r="AX25" i="31"/>
  <c r="Q26" i="31" l="1"/>
  <c r="X26" i="31"/>
  <c r="Y23" i="31"/>
  <c r="Y24" i="31"/>
  <c r="U26" i="31"/>
  <c r="Y12" i="31"/>
  <c r="Y13" i="31"/>
  <c r="AY12" i="31"/>
  <c r="Z12" i="31" s="1"/>
  <c r="Y26" i="31"/>
  <c r="AY25" i="31"/>
  <c r="AY13" i="31"/>
  <c r="AY19" i="31"/>
  <c r="AY18" i="31"/>
  <c r="Z18" i="31" s="1"/>
  <c r="N27" i="31"/>
  <c r="AY17" i="31"/>
  <c r="Z17" i="31" s="1"/>
  <c r="AY14" i="31"/>
  <c r="Z14" i="31" s="1"/>
  <c r="AY16" i="31"/>
  <c r="AY27" i="31"/>
  <c r="Z27" i="31" s="1"/>
  <c r="AY26" i="31"/>
  <c r="AY15" i="31"/>
  <c r="Z15" i="31" s="1"/>
  <c r="T27" i="31"/>
  <c r="R27" i="31"/>
  <c r="S27" i="31"/>
  <c r="W27" i="31"/>
  <c r="P27" i="31"/>
  <c r="O27" i="31"/>
  <c r="O26" i="31"/>
  <c r="V27" i="31"/>
  <c r="Y17" i="31"/>
  <c r="T26" i="31"/>
  <c r="N26" i="31"/>
  <c r="U27" i="31"/>
  <c r="S26" i="31"/>
  <c r="BX11" i="31"/>
  <c r="AZ11" i="31" s="1"/>
  <c r="AB11" i="31" s="1"/>
  <c r="AB28" i="23"/>
  <c r="AC11" i="23"/>
  <c r="AB13" i="23"/>
  <c r="BX13" i="31" s="1"/>
  <c r="AB12" i="23"/>
  <c r="BX12" i="31" s="1"/>
  <c r="AB16" i="23"/>
  <c r="BX16" i="31" s="1"/>
  <c r="AB15" i="23"/>
  <c r="BX15" i="31" s="1"/>
  <c r="AB14" i="23"/>
  <c r="BX14" i="31" s="1"/>
  <c r="AB17" i="23"/>
  <c r="BX17" i="31" s="1"/>
  <c r="AB18" i="23"/>
  <c r="BX18" i="31" s="1"/>
  <c r="AB19" i="23"/>
  <c r="BX19" i="31" s="1"/>
  <c r="AB20" i="23"/>
  <c r="BX20" i="31" s="1"/>
  <c r="AB21" i="23"/>
  <c r="BX21" i="31" s="1"/>
  <c r="AB22" i="23"/>
  <c r="BX22" i="31" s="1"/>
  <c r="AB23" i="23"/>
  <c r="BX23" i="31" s="1"/>
  <c r="AB24" i="23"/>
  <c r="BX24" i="31" s="1"/>
  <c r="AB25" i="23"/>
  <c r="BX25" i="31" s="1"/>
  <c r="AB26" i="23"/>
  <c r="BX26" i="31" s="1"/>
  <c r="Y14" i="31"/>
  <c r="Y27" i="31"/>
  <c r="Y20" i="31"/>
  <c r="W26" i="31"/>
  <c r="Q27" i="31"/>
  <c r="AY24" i="31"/>
  <c r="X27" i="31"/>
  <c r="BD11" i="23"/>
  <c r="BC28" i="23"/>
  <c r="BC12" i="23"/>
  <c r="BC13" i="23"/>
  <c r="BC14" i="23"/>
  <c r="BC16" i="23"/>
  <c r="BC15" i="23"/>
  <c r="BC17" i="23"/>
  <c r="BC18" i="23"/>
  <c r="BC19" i="23"/>
  <c r="BC20" i="23"/>
  <c r="BC21" i="23"/>
  <c r="BC22" i="23"/>
  <c r="BC23" i="23"/>
  <c r="BC24" i="23"/>
  <c r="BC25" i="23"/>
  <c r="BC26" i="23"/>
  <c r="AY23" i="31"/>
  <c r="AY22" i="31"/>
  <c r="M27" i="31"/>
  <c r="Y18" i="31"/>
  <c r="C24" i="5"/>
  <c r="H23" i="5" a="1"/>
  <c r="H23" i="5" s="1"/>
  <c r="G23" i="5" s="1"/>
  <c r="R23" i="5"/>
  <c r="AY21" i="31"/>
  <c r="Y19" i="31"/>
  <c r="Y25" i="31"/>
  <c r="Y15" i="31"/>
  <c r="Y21" i="31"/>
  <c r="L27" i="31"/>
  <c r="R26" i="31"/>
  <c r="AY20" i="31"/>
  <c r="Z13" i="31" l="1"/>
  <c r="Z20" i="31"/>
  <c r="Z25" i="31"/>
  <c r="AZ25" i="31"/>
  <c r="AA25" i="31" s="1"/>
  <c r="Z26" i="31"/>
  <c r="Z19" i="31"/>
  <c r="Z16" i="31"/>
  <c r="Z22" i="31"/>
  <c r="AZ24" i="31"/>
  <c r="AA24" i="31" s="1"/>
  <c r="AZ23" i="31"/>
  <c r="AA23" i="31" s="1"/>
  <c r="AZ22" i="31"/>
  <c r="AA22" i="31" s="1"/>
  <c r="AZ21" i="31"/>
  <c r="AZ20" i="31"/>
  <c r="AA20" i="31" s="1"/>
  <c r="AZ19" i="31"/>
  <c r="AA19" i="31" s="1"/>
  <c r="AZ18" i="31"/>
  <c r="AZ17" i="31"/>
  <c r="AZ14" i="31"/>
  <c r="AZ15" i="31"/>
  <c r="AZ16" i="31"/>
  <c r="AZ12" i="31"/>
  <c r="AA12" i="31" s="1"/>
  <c r="AZ13" i="31"/>
  <c r="AZ27" i="31"/>
  <c r="AA27" i="31" s="1"/>
  <c r="AZ26" i="31"/>
  <c r="AA26" i="31" s="1"/>
  <c r="Z24" i="31"/>
  <c r="BY11" i="31"/>
  <c r="BA11" i="31" s="1"/>
  <c r="AC11" i="31" s="1"/>
  <c r="AC28" i="23"/>
  <c r="AD11" i="23"/>
  <c r="AC12" i="23"/>
  <c r="BY12" i="31" s="1"/>
  <c r="AC14" i="23"/>
  <c r="BY14" i="31" s="1"/>
  <c r="AC16" i="23"/>
  <c r="BY16" i="31" s="1"/>
  <c r="AC15" i="23"/>
  <c r="BY15" i="31" s="1"/>
  <c r="AC13" i="23"/>
  <c r="BY13" i="31" s="1"/>
  <c r="AC17" i="23"/>
  <c r="BY17" i="31" s="1"/>
  <c r="AC18" i="23"/>
  <c r="BY18" i="31" s="1"/>
  <c r="AC19" i="23"/>
  <c r="BY19" i="31" s="1"/>
  <c r="AC20" i="23"/>
  <c r="BY20" i="31" s="1"/>
  <c r="AC21" i="23"/>
  <c r="BY21" i="31" s="1"/>
  <c r="AC22" i="23"/>
  <c r="BY22" i="31" s="1"/>
  <c r="AC23" i="23"/>
  <c r="BY23" i="31" s="1"/>
  <c r="AC24" i="23"/>
  <c r="BY24" i="31" s="1"/>
  <c r="AC25" i="23"/>
  <c r="BY25" i="31" s="1"/>
  <c r="AC26" i="23"/>
  <c r="BY26" i="31" s="1"/>
  <c r="AC27" i="23"/>
  <c r="BY27" i="31" s="1"/>
  <c r="Z21" i="31"/>
  <c r="Z23" i="31"/>
  <c r="BD28" i="23"/>
  <c r="BE11" i="23"/>
  <c r="BD12" i="23"/>
  <c r="BD13" i="23"/>
  <c r="BD16" i="23"/>
  <c r="BD14" i="23"/>
  <c r="BD15" i="23"/>
  <c r="BD17" i="23"/>
  <c r="BD18" i="23"/>
  <c r="BD19" i="23"/>
  <c r="BD20" i="23"/>
  <c r="BD21" i="23"/>
  <c r="BD22" i="23"/>
  <c r="BD23" i="23"/>
  <c r="BD24" i="23"/>
  <c r="BD25" i="23"/>
  <c r="BD26" i="23"/>
  <c r="BD27" i="23"/>
  <c r="R24" i="5"/>
  <c r="H24" i="5" a="1"/>
  <c r="H24" i="5" s="1"/>
  <c r="G24" i="5" s="1"/>
  <c r="C25" i="5"/>
  <c r="AA16" i="31" l="1"/>
  <c r="BA27" i="31"/>
  <c r="AB27" i="31" s="1"/>
  <c r="BA24" i="31"/>
  <c r="AB24" i="31" s="1"/>
  <c r="BA25" i="31"/>
  <c r="AB25" i="31" s="1"/>
  <c r="BA18" i="31"/>
  <c r="AB18" i="31" s="1"/>
  <c r="BA15" i="31"/>
  <c r="AB15" i="31" s="1"/>
  <c r="BA14" i="31"/>
  <c r="BA12" i="31"/>
  <c r="BA22" i="31"/>
  <c r="AB22" i="31" s="1"/>
  <c r="BA23" i="31"/>
  <c r="AB23" i="31" s="1"/>
  <c r="BA20" i="31"/>
  <c r="AB20" i="31" s="1"/>
  <c r="BA17" i="31"/>
  <c r="AB17" i="31" s="1"/>
  <c r="BA26" i="31"/>
  <c r="AB26" i="31" s="1"/>
  <c r="BA16" i="31"/>
  <c r="AB16" i="31" s="1"/>
  <c r="AA13" i="31"/>
  <c r="AA21" i="31"/>
  <c r="AA15" i="31"/>
  <c r="AA18" i="31"/>
  <c r="AA14" i="31"/>
  <c r="AA17" i="31"/>
  <c r="BA19" i="31"/>
  <c r="AB19" i="31" s="1"/>
  <c r="BA13" i="31"/>
  <c r="AB13" i="31" s="1"/>
  <c r="BA21" i="31"/>
  <c r="AB21" i="31" s="1"/>
  <c r="C26" i="5"/>
  <c r="H25" i="5" a="1"/>
  <c r="H25" i="5" s="1"/>
  <c r="G25" i="5" s="1"/>
  <c r="R25" i="5"/>
  <c r="BE28" i="23"/>
  <c r="BF11" i="23"/>
  <c r="BE12" i="23"/>
  <c r="BE13" i="23"/>
  <c r="BE16" i="23"/>
  <c r="BE15" i="23"/>
  <c r="BE14" i="23"/>
  <c r="BE17" i="23"/>
  <c r="BE18" i="23"/>
  <c r="BE19" i="23"/>
  <c r="BE20" i="23"/>
  <c r="BE21" i="23"/>
  <c r="BE22" i="23"/>
  <c r="BE23" i="23"/>
  <c r="BE24" i="23"/>
  <c r="BE25" i="23"/>
  <c r="BE26" i="23"/>
  <c r="BE27" i="23"/>
  <c r="BZ11" i="31"/>
  <c r="BB11" i="31" s="1"/>
  <c r="AD11" i="31" s="1"/>
  <c r="AD28" i="23"/>
  <c r="AE11" i="23"/>
  <c r="AD13" i="23"/>
  <c r="BZ13" i="31" s="1"/>
  <c r="AD14" i="23"/>
  <c r="BZ14" i="31" s="1"/>
  <c r="AD12" i="23"/>
  <c r="BZ12" i="31" s="1"/>
  <c r="AD15" i="23"/>
  <c r="BZ15" i="31" s="1"/>
  <c r="AD16" i="23"/>
  <c r="BZ16" i="31" s="1"/>
  <c r="AD17" i="23"/>
  <c r="BZ17" i="31" s="1"/>
  <c r="AD18" i="23"/>
  <c r="BZ18" i="31" s="1"/>
  <c r="AD19" i="23"/>
  <c r="BZ19" i="31" s="1"/>
  <c r="AD20" i="23"/>
  <c r="BZ20" i="31" s="1"/>
  <c r="AD21" i="23"/>
  <c r="BZ21" i="31" s="1"/>
  <c r="AD22" i="23"/>
  <c r="BZ22" i="31" s="1"/>
  <c r="AD23" i="23"/>
  <c r="BZ23" i="31" s="1"/>
  <c r="AD24" i="23"/>
  <c r="BZ24" i="31" s="1"/>
  <c r="AD25" i="23"/>
  <c r="BZ25" i="31" s="1"/>
  <c r="AD26" i="23"/>
  <c r="BZ26" i="31" s="1"/>
  <c r="AD27" i="23"/>
  <c r="BZ27" i="31" s="1"/>
  <c r="AB14" i="31" l="1"/>
  <c r="BB24" i="31"/>
  <c r="AC24" i="31" s="1"/>
  <c r="BB25" i="31"/>
  <c r="AC25" i="31" s="1"/>
  <c r="AB12" i="31"/>
  <c r="BB23" i="31"/>
  <c r="AC23" i="31" s="1"/>
  <c r="BB22" i="31"/>
  <c r="AC22" i="31" s="1"/>
  <c r="BB27" i="31"/>
  <c r="AC27" i="31" s="1"/>
  <c r="BB26" i="31"/>
  <c r="AC26" i="31" s="1"/>
  <c r="BB12" i="31"/>
  <c r="BB14" i="31"/>
  <c r="AC14" i="31" s="1"/>
  <c r="BB13" i="31"/>
  <c r="BF28" i="23"/>
  <c r="BG11" i="23"/>
  <c r="BF12" i="23"/>
  <c r="BF16" i="23"/>
  <c r="BF13" i="23"/>
  <c r="BF14" i="23"/>
  <c r="BF15" i="23"/>
  <c r="BF17" i="23"/>
  <c r="BF18" i="23"/>
  <c r="BF19" i="23"/>
  <c r="BF20" i="23"/>
  <c r="BF21" i="23"/>
  <c r="BF22" i="23"/>
  <c r="BF23" i="23"/>
  <c r="BF24" i="23"/>
  <c r="BF25" i="23"/>
  <c r="BF26" i="23"/>
  <c r="BF27" i="23"/>
  <c r="AF11" i="23"/>
  <c r="CA11" i="31"/>
  <c r="BC11" i="31" s="1"/>
  <c r="AE11" i="31" s="1"/>
  <c r="AE28" i="23"/>
  <c r="AE16" i="23"/>
  <c r="CA16" i="31" s="1"/>
  <c r="AE13" i="23"/>
  <c r="CA13" i="31" s="1"/>
  <c r="AE14" i="23"/>
  <c r="CA14" i="31" s="1"/>
  <c r="AE12" i="23"/>
  <c r="CA12" i="31" s="1"/>
  <c r="AE15" i="23"/>
  <c r="CA15" i="31" s="1"/>
  <c r="AE17" i="23"/>
  <c r="CA17" i="31" s="1"/>
  <c r="AE18" i="23"/>
  <c r="CA18" i="31" s="1"/>
  <c r="AE19" i="23"/>
  <c r="CA19" i="31" s="1"/>
  <c r="AE20" i="23"/>
  <c r="CA20" i="31" s="1"/>
  <c r="AE21" i="23"/>
  <c r="CA21" i="31" s="1"/>
  <c r="AE22" i="23"/>
  <c r="CA22" i="31" s="1"/>
  <c r="AE23" i="23"/>
  <c r="CA23" i="31" s="1"/>
  <c r="AE24" i="23"/>
  <c r="CA24" i="31" s="1"/>
  <c r="AE25" i="23"/>
  <c r="CA25" i="31" s="1"/>
  <c r="AE26" i="23"/>
  <c r="CA26" i="31" s="1"/>
  <c r="AE27" i="23"/>
  <c r="CA27" i="31" s="1"/>
  <c r="BB21" i="31"/>
  <c r="H26" i="5" a="1"/>
  <c r="H26" i="5" s="1"/>
  <c r="G26" i="5" s="1"/>
  <c r="C27" i="5"/>
  <c r="R26" i="5"/>
  <c r="BB18" i="31"/>
  <c r="BB20" i="31"/>
  <c r="BB17" i="31"/>
  <c r="BB19" i="31"/>
  <c r="BB16" i="31"/>
  <c r="BB15" i="31"/>
  <c r="BC26" i="31" l="1"/>
  <c r="AD26" i="31" s="1"/>
  <c r="BC24" i="31"/>
  <c r="AD24" i="31" s="1"/>
  <c r="BC14" i="31"/>
  <c r="AD14" i="31" s="1"/>
  <c r="BC27" i="31"/>
  <c r="AD27" i="31" s="1"/>
  <c r="BC12" i="31"/>
  <c r="AD12" i="31" s="1"/>
  <c r="BC25" i="31"/>
  <c r="AD25" i="31" s="1"/>
  <c r="BC23" i="31"/>
  <c r="AD23" i="31" s="1"/>
  <c r="BC16" i="31"/>
  <c r="AD16" i="31" s="1"/>
  <c r="AC13" i="31"/>
  <c r="AC12" i="31"/>
  <c r="BC13" i="31"/>
  <c r="AD13" i="31" s="1"/>
  <c r="AC21" i="31"/>
  <c r="AF28" i="23"/>
  <c r="CB11" i="31"/>
  <c r="BD11" i="31" s="1"/>
  <c r="AF11" i="31" s="1"/>
  <c r="AF15" i="23"/>
  <c r="CB15" i="31" s="1"/>
  <c r="AF16" i="23"/>
  <c r="CB16" i="31" s="1"/>
  <c r="AF12" i="23"/>
  <c r="CB12" i="31" s="1"/>
  <c r="AF14" i="23"/>
  <c r="CB14" i="31" s="1"/>
  <c r="AF13" i="23"/>
  <c r="CB13" i="31" s="1"/>
  <c r="AF17" i="23"/>
  <c r="CB17" i="31" s="1"/>
  <c r="AF18" i="23"/>
  <c r="CB18" i="31" s="1"/>
  <c r="AF19" i="23"/>
  <c r="CB19" i="31" s="1"/>
  <c r="AF20" i="23"/>
  <c r="CB20" i="31" s="1"/>
  <c r="AF21" i="23"/>
  <c r="CB21" i="31" s="1"/>
  <c r="AF22" i="23"/>
  <c r="CB22" i="31" s="1"/>
  <c r="AF23" i="23"/>
  <c r="CB23" i="31" s="1"/>
  <c r="AF24" i="23"/>
  <c r="CB24" i="31" s="1"/>
  <c r="AF25" i="23"/>
  <c r="CB25" i="31" s="1"/>
  <c r="AF26" i="23"/>
  <c r="CB26" i="31" s="1"/>
  <c r="AF27" i="23"/>
  <c r="CB27" i="31" s="1"/>
  <c r="AC15" i="31"/>
  <c r="C28" i="5"/>
  <c r="R27" i="5"/>
  <c r="H27" i="5" a="1"/>
  <c r="H27" i="5" s="1"/>
  <c r="G27" i="5" s="1"/>
  <c r="BC21" i="31"/>
  <c r="AD21" i="31" s="1"/>
  <c r="AC17" i="31"/>
  <c r="BG28" i="23"/>
  <c r="BG12" i="23"/>
  <c r="BG15" i="23"/>
  <c r="BG16" i="23"/>
  <c r="BG13" i="23"/>
  <c r="BG14" i="23"/>
  <c r="BG17" i="23"/>
  <c r="BG18" i="23"/>
  <c r="BG19" i="23"/>
  <c r="BG20" i="23"/>
  <c r="BG21" i="23"/>
  <c r="BG22" i="23"/>
  <c r="BG23" i="23"/>
  <c r="BG24" i="23"/>
  <c r="BG25" i="23"/>
  <c r="BG26" i="23"/>
  <c r="BG27" i="23"/>
  <c r="BC22" i="31"/>
  <c r="BC18" i="31"/>
  <c r="AD18" i="31" s="1"/>
  <c r="AC19" i="31"/>
  <c r="BC19" i="31"/>
  <c r="AC18" i="31"/>
  <c r="BC17" i="31"/>
  <c r="AD17" i="31" s="1"/>
  <c r="AC16" i="31"/>
  <c r="BC20" i="31"/>
  <c r="AD20" i="31" s="1"/>
  <c r="AC20" i="31"/>
  <c r="BC15" i="31"/>
  <c r="BD23" i="31" l="1"/>
  <c r="AE23" i="31" s="1"/>
  <c r="BD16" i="31"/>
  <c r="BD26" i="31"/>
  <c r="BD12" i="31"/>
  <c r="AE12" i="31" s="1"/>
  <c r="BD25" i="31"/>
  <c r="AE25" i="31" s="1"/>
  <c r="BD15" i="31"/>
  <c r="AE15" i="31" s="1"/>
  <c r="BD18" i="31"/>
  <c r="AE18" i="31" s="1"/>
  <c r="BD13" i="31"/>
  <c r="AE13" i="31" s="1"/>
  <c r="BD17" i="31"/>
  <c r="BD27" i="31"/>
  <c r="AF27" i="31" s="1"/>
  <c r="BD14" i="31"/>
  <c r="AD15" i="31"/>
  <c r="AD22" i="31"/>
  <c r="BD24" i="31"/>
  <c r="AD19" i="31"/>
  <c r="BD22" i="31"/>
  <c r="BD21" i="31"/>
  <c r="AE21" i="31" s="1"/>
  <c r="BD20" i="31"/>
  <c r="AE20" i="31" s="1"/>
  <c r="H28" i="5" a="1"/>
  <c r="H28" i="5" s="1"/>
  <c r="G28" i="5" s="1"/>
  <c r="C29" i="5"/>
  <c r="R28" i="5"/>
  <c r="BD19" i="31"/>
  <c r="AE16" i="31" l="1"/>
  <c r="AE26" i="31"/>
  <c r="AF16" i="31"/>
  <c r="AF22" i="31"/>
  <c r="AF23" i="31"/>
  <c r="AF12" i="31"/>
  <c r="AE17" i="31"/>
  <c r="AF14" i="31"/>
  <c r="AF25" i="31"/>
  <c r="AF17" i="31"/>
  <c r="AF13" i="31"/>
  <c r="AE14" i="31"/>
  <c r="AE27" i="31"/>
  <c r="AF26" i="31"/>
  <c r="AF15" i="31"/>
  <c r="AF19" i="31"/>
  <c r="AF20" i="31"/>
  <c r="AE19" i="31"/>
  <c r="AF24" i="31"/>
  <c r="AE24" i="31"/>
  <c r="C30" i="5"/>
  <c r="H29" i="5" a="1"/>
  <c r="H29" i="5" s="1"/>
  <c r="G29" i="5" s="1"/>
  <c r="R29" i="5"/>
  <c r="AF21" i="31"/>
  <c r="AE22" i="31"/>
  <c r="AF18" i="31"/>
  <c r="H30" i="5" l="1"/>
  <c r="G30" i="5" s="1"/>
  <c r="R30" i="5"/>
  <c r="C31" i="5"/>
  <c r="H31" i="5" l="1" a="1"/>
  <c r="H31" i="5" s="1"/>
  <c r="G31" i="5" s="1"/>
  <c r="R31" i="5"/>
  <c r="C32" i="5"/>
  <c r="C33" i="5" l="1"/>
  <c r="H32" i="5" a="1"/>
  <c r="H32" i="5" s="1"/>
  <c r="G32" i="5" s="1"/>
  <c r="R32" i="5"/>
  <c r="H33" i="5" l="1" a="1"/>
  <c r="H33" i="5" s="1"/>
  <c r="G33" i="5" s="1"/>
  <c r="C34" i="5"/>
  <c r="R33" i="5"/>
  <c r="H34" i="5" l="1" a="1"/>
  <c r="H34" i="5" s="1"/>
  <c r="G34" i="5" s="1"/>
  <c r="R34" i="5"/>
  <c r="C35" i="5"/>
  <c r="C36" i="5" l="1"/>
  <c r="R35" i="5"/>
  <c r="H35" i="5" a="1"/>
  <c r="H35" i="5" s="1"/>
  <c r="G35" i="5" s="1"/>
  <c r="C37" i="5" l="1"/>
  <c r="R36" i="5"/>
  <c r="H36" i="5" a="1"/>
  <c r="H36" i="5" s="1"/>
  <c r="G36" i="5" s="1"/>
  <c r="C38" i="5" l="1"/>
  <c r="H37" i="5" a="1"/>
  <c r="H37" i="5" s="1"/>
  <c r="G37" i="5" s="1"/>
  <c r="R37" i="5"/>
  <c r="R38" i="5" l="1"/>
  <c r="H38" i="5" a="1"/>
  <c r="H38" i="5" s="1"/>
  <c r="G38" i="5" s="1"/>
  <c r="C39" i="5"/>
  <c r="R39" i="5" l="1"/>
  <c r="H39" i="5" a="1"/>
  <c r="H39" i="5" s="1"/>
  <c r="G39" i="5" s="1"/>
  <c r="C40" i="5"/>
  <c r="C41" i="5" l="1"/>
  <c r="R40" i="5"/>
  <c r="H40" i="5" a="1"/>
  <c r="H40" i="5" s="1"/>
  <c r="G40" i="5" s="1"/>
  <c r="C42" i="5" l="1"/>
  <c r="H41" i="5" a="1"/>
  <c r="H41" i="5" s="1"/>
  <c r="G41" i="5" s="1"/>
  <c r="R41" i="5"/>
  <c r="C43" i="5" l="1"/>
  <c r="H42" i="5" a="1"/>
  <c r="H42" i="5" s="1"/>
  <c r="G42" i="5" s="1"/>
  <c r="R42" i="5"/>
  <c r="H43" i="5" l="1" a="1"/>
  <c r="H43" i="5" s="1"/>
  <c r="G43" i="5" s="1"/>
  <c r="C44" i="5"/>
  <c r="R43" i="5"/>
  <c r="R44" i="5" l="1"/>
  <c r="H44" i="5" a="1"/>
  <c r="H44" i="5" s="1"/>
  <c r="G44" i="5" s="1"/>
  <c r="C45" i="5"/>
  <c r="D45" i="5" s="1"/>
  <c r="R45" i="5" l="1"/>
  <c r="H45" i="5" a="1"/>
  <c r="H45" i="5" s="1"/>
  <c r="G45" i="5" s="1"/>
  <c r="C46" i="5"/>
  <c r="D46" i="5" s="1"/>
  <c r="R46" i="5" l="1"/>
  <c r="C47" i="5"/>
  <c r="H46" i="5" a="1"/>
  <c r="H46" i="5" s="1"/>
  <c r="G46" i="5" s="1"/>
  <c r="D47" i="5" l="1"/>
  <c r="R47" i="5"/>
  <c r="C48" i="5"/>
  <c r="D48" i="5" s="1"/>
  <c r="H47" i="5" a="1"/>
  <c r="H47" i="5" s="1"/>
  <c r="G47" i="5" s="1"/>
  <c r="C49" i="5" l="1"/>
  <c r="D49" i="5" s="1"/>
  <c r="R48" i="5"/>
  <c r="H48" i="5" a="1"/>
  <c r="H48" i="5" s="1"/>
  <c r="G48" i="5" s="1"/>
  <c r="R49" i="5" l="1"/>
  <c r="C50" i="5"/>
  <c r="D50" i="5" s="1"/>
  <c r="H49" i="5" a="1"/>
  <c r="H49" i="5" s="1"/>
  <c r="G49" i="5" s="1"/>
  <c r="R50" i="5" l="1"/>
  <c r="H50" i="5" a="1"/>
  <c r="H50" i="5" s="1"/>
  <c r="G50" i="5" s="1"/>
  <c r="C51" i="5"/>
  <c r="D51" i="5" s="1"/>
  <c r="R51" i="5" l="1"/>
  <c r="C52" i="5"/>
  <c r="D52" i="5" s="1"/>
  <c r="H51" i="5" a="1"/>
  <c r="H51" i="5" s="1"/>
  <c r="G51" i="5" s="1"/>
  <c r="R52" i="5" l="1"/>
  <c r="H52" i="5" a="1"/>
  <c r="H52" i="5" s="1"/>
  <c r="G52" i="5" s="1"/>
  <c r="C53" i="5"/>
  <c r="D53" i="5" s="1"/>
  <c r="R53" i="5" l="1"/>
  <c r="C54" i="5"/>
  <c r="D54" i="5" s="1"/>
  <c r="H53" i="5" a="1"/>
  <c r="H53" i="5" s="1"/>
  <c r="G53" i="5" s="1"/>
  <c r="R54" i="5" l="1"/>
  <c r="C55" i="5"/>
  <c r="D55" i="5" s="1"/>
  <c r="H54" i="5" a="1"/>
  <c r="H54" i="5" s="1"/>
  <c r="G54" i="5" s="1"/>
  <c r="C56" i="5" l="1"/>
  <c r="D56" i="5" s="1"/>
  <c r="R55" i="5"/>
  <c r="H55" i="5" a="1"/>
  <c r="H55" i="5" s="1"/>
  <c r="G55" i="5" s="1"/>
  <c r="R56" i="5" l="1"/>
  <c r="H56" i="5" a="1"/>
  <c r="H56" i="5" s="1"/>
  <c r="G56" i="5" s="1"/>
  <c r="C57" i="5"/>
  <c r="D57" i="5" s="1"/>
  <c r="R57" i="5" l="1"/>
  <c r="H57" i="5" a="1"/>
  <c r="H57" i="5" s="1"/>
  <c r="G57" i="5" s="1"/>
  <c r="C58" i="5"/>
  <c r="D58" i="5" s="1"/>
  <c r="C59" i="5" l="1"/>
  <c r="D59" i="5" s="1"/>
  <c r="R58" i="5"/>
  <c r="H58" i="5" a="1"/>
  <c r="H58" i="5" s="1"/>
  <c r="G58" i="5" s="1"/>
  <c r="R59" i="5" l="1"/>
  <c r="H59" i="5" a="1"/>
  <c r="H59" i="5" s="1"/>
  <c r="G59" i="5" s="1"/>
  <c r="C60" i="5"/>
  <c r="D60" i="5" s="1"/>
  <c r="R60" i="5" l="1"/>
  <c r="C61" i="5"/>
  <c r="D61" i="5" s="1"/>
  <c r="H60" i="5" a="1"/>
  <c r="H60" i="5" s="1"/>
  <c r="G60" i="5" s="1"/>
  <c r="C62" i="5" l="1"/>
  <c r="D62" i="5" s="1"/>
  <c r="H61" i="5" a="1"/>
  <c r="H61" i="5" s="1"/>
  <c r="G61" i="5" s="1"/>
  <c r="R61" i="5"/>
  <c r="H62" i="5" l="1" a="1"/>
  <c r="H62" i="5" s="1"/>
  <c r="G62" i="5" s="1"/>
  <c r="R62" i="5"/>
  <c r="C63" i="5"/>
  <c r="D63" i="5" s="1"/>
  <c r="R63" i="5" l="1"/>
  <c r="H63" i="5" a="1"/>
  <c r="H63" i="5" s="1"/>
  <c r="G63" i="5" s="1"/>
  <c r="C64" i="5"/>
  <c r="D64" i="5" s="1"/>
  <c r="R64" i="5" l="1"/>
  <c r="H64" i="5" a="1"/>
  <c r="H64" i="5" s="1"/>
  <c r="G64" i="5" s="1"/>
  <c r="C65" i="5"/>
  <c r="D65" i="5" s="1"/>
  <c r="R65" i="5" l="1"/>
  <c r="C66" i="5"/>
  <c r="D66" i="5" s="1"/>
  <c r="H65" i="5" a="1"/>
  <c r="H65" i="5" s="1"/>
  <c r="G65" i="5" s="1"/>
  <c r="R66" i="5" l="1"/>
  <c r="H66" i="5" a="1"/>
  <c r="H66" i="5" s="1"/>
  <c r="G66" i="5" s="1"/>
  <c r="C67" i="5"/>
  <c r="D67" i="5" s="1"/>
  <c r="R67" i="5" l="1"/>
  <c r="H67" i="5" a="1"/>
  <c r="H67" i="5" s="1"/>
  <c r="G67" i="5" s="1"/>
  <c r="C68" i="5"/>
  <c r="D68" i="5" s="1"/>
  <c r="R68" i="5" l="1"/>
  <c r="H68" i="5" a="1"/>
  <c r="H68" i="5" s="1"/>
  <c r="G68" i="5" s="1"/>
  <c r="C69" i="5"/>
  <c r="D69" i="5" s="1"/>
  <c r="R69" i="5" l="1"/>
  <c r="C70" i="5"/>
  <c r="D70" i="5" s="1"/>
  <c r="H69" i="5" a="1"/>
  <c r="H69" i="5" s="1"/>
  <c r="G69" i="5" s="1"/>
  <c r="R70" i="5" l="1"/>
  <c r="C71" i="5"/>
  <c r="D71" i="5" s="1"/>
  <c r="H70" i="5" a="1"/>
  <c r="H70" i="5" s="1"/>
  <c r="G70" i="5" s="1"/>
  <c r="H71" i="5" l="1" a="1"/>
  <c r="H71" i="5" s="1"/>
  <c r="G71" i="5" s="1"/>
  <c r="R71" i="5"/>
  <c r="C72" i="5"/>
  <c r="D72" i="5" s="1"/>
  <c r="H72" i="5" l="1" a="1"/>
  <c r="H72" i="5" s="1"/>
  <c r="G72" i="5" s="1"/>
  <c r="R72" i="5"/>
  <c r="C73" i="5"/>
  <c r="D73" i="5" s="1"/>
  <c r="R73" i="5" l="1"/>
  <c r="C74" i="5"/>
  <c r="D74" i="5" s="1"/>
  <c r="H73" i="5" a="1"/>
  <c r="H73" i="5" s="1"/>
  <c r="G73" i="5" s="1"/>
  <c r="C75" i="5" l="1"/>
  <c r="D75" i="5" s="1"/>
  <c r="H74" i="5" a="1"/>
  <c r="H74" i="5" s="1"/>
  <c r="G74" i="5" s="1"/>
  <c r="R74" i="5"/>
  <c r="R75" i="5" l="1"/>
  <c r="C76" i="5"/>
  <c r="D76" i="5" s="1"/>
  <c r="H75" i="5" a="1"/>
  <c r="H75" i="5" s="1"/>
  <c r="G75" i="5" s="1"/>
  <c r="R76" i="5" l="1"/>
  <c r="H76" i="5" a="1"/>
  <c r="H76" i="5" s="1"/>
  <c r="G76" i="5" s="1"/>
  <c r="C77" i="5"/>
  <c r="D77" i="5" s="1"/>
  <c r="R77" i="5" l="1"/>
  <c r="C78" i="5"/>
  <c r="D78" i="5" s="1"/>
  <c r="H77" i="5" a="1"/>
  <c r="H77" i="5" s="1"/>
  <c r="G77" i="5" s="1"/>
  <c r="R78" i="5" l="1"/>
  <c r="C79" i="5"/>
  <c r="D79" i="5" s="1"/>
  <c r="H78" i="5" a="1"/>
  <c r="H78" i="5" s="1"/>
  <c r="G78" i="5" s="1"/>
  <c r="R79" i="5" l="1"/>
  <c r="H79" i="5" a="1"/>
  <c r="H79" i="5" s="1"/>
  <c r="G79" i="5" s="1"/>
  <c r="C80" i="5"/>
  <c r="D80" i="5" s="1"/>
  <c r="H80" i="5" l="1" a="1"/>
  <c r="H80" i="5" s="1"/>
  <c r="G80" i="5" s="1"/>
  <c r="R80" i="5"/>
  <c r="C81" i="5"/>
  <c r="D81" i="5" s="1"/>
  <c r="C82" i="5" l="1"/>
  <c r="D82" i="5" s="1"/>
  <c r="R81" i="5"/>
  <c r="H81" i="5" a="1"/>
  <c r="H81" i="5" s="1"/>
  <c r="G81" i="5" s="1"/>
  <c r="R82" i="5" l="1"/>
  <c r="H82" i="5" a="1"/>
  <c r="H82" i="5" s="1"/>
  <c r="G82" i="5" s="1"/>
  <c r="C83" i="5"/>
  <c r="D83" i="5" s="1"/>
  <c r="R83" i="5" l="1"/>
  <c r="H83" i="5" a="1"/>
  <c r="H83" i="5" s="1"/>
  <c r="G83" i="5" s="1"/>
  <c r="C84" i="5"/>
  <c r="D84" i="5" s="1"/>
  <c r="H84" i="5" l="1" a="1"/>
  <c r="H84" i="5" s="1"/>
  <c r="G84" i="5" s="1"/>
  <c r="R84" i="5"/>
  <c r="C85" i="5"/>
  <c r="D85" i="5" s="1"/>
  <c r="R85" i="5" l="1"/>
  <c r="H85" i="5" a="1"/>
  <c r="H85" i="5" s="1"/>
  <c r="G85" i="5" s="1"/>
  <c r="C86" i="5"/>
  <c r="D86" i="5" s="1"/>
  <c r="R86" i="5" l="1"/>
  <c r="C87" i="5"/>
  <c r="D87" i="5" s="1"/>
  <c r="H86" i="5" a="1"/>
  <c r="H86" i="5" s="1"/>
  <c r="G86" i="5" s="1"/>
  <c r="R87" i="5" l="1"/>
  <c r="C88" i="5"/>
  <c r="D88" i="5" s="1"/>
  <c r="H87" i="5" a="1"/>
  <c r="H87" i="5" s="1"/>
  <c r="G87" i="5" s="1"/>
  <c r="H88" i="5" l="1" a="1"/>
  <c r="H88" i="5" s="1"/>
  <c r="G88" i="5" s="1"/>
  <c r="C89" i="5"/>
  <c r="D89" i="5" s="1"/>
  <c r="R88" i="5"/>
  <c r="R89" i="5" l="1"/>
  <c r="H89" i="5" a="1"/>
  <c r="H89" i="5" s="1"/>
  <c r="G89" i="5" s="1"/>
  <c r="C90" i="5"/>
  <c r="D90" i="5" s="1"/>
  <c r="C91" i="5" l="1"/>
  <c r="D91" i="5" s="1"/>
  <c r="R90" i="5"/>
  <c r="H90" i="5" a="1"/>
  <c r="H90" i="5" s="1"/>
  <c r="G90" i="5" s="1"/>
  <c r="C92" i="5" l="1"/>
  <c r="D92" i="5" s="1"/>
  <c r="R91" i="5"/>
  <c r="H91" i="5" a="1"/>
  <c r="H91" i="5" s="1"/>
  <c r="G91" i="5" s="1"/>
  <c r="R92" i="5" l="1"/>
  <c r="H92" i="5" a="1"/>
  <c r="H92" i="5" s="1"/>
  <c r="G92" i="5" s="1"/>
  <c r="C93" i="5"/>
  <c r="D93" i="5" s="1"/>
  <c r="R93" i="5" l="1"/>
  <c r="C94" i="5"/>
  <c r="D94" i="5" s="1"/>
  <c r="H93" i="5" a="1"/>
  <c r="H93" i="5" s="1"/>
  <c r="G93" i="5" s="1"/>
  <c r="C95" i="5" l="1"/>
  <c r="D95" i="5" s="1"/>
  <c r="R94" i="5"/>
  <c r="H94" i="5" a="1"/>
  <c r="H94" i="5" s="1"/>
  <c r="G94" i="5" s="1"/>
  <c r="R95" i="5" l="1"/>
  <c r="C96" i="5"/>
  <c r="D96" i="5" s="1"/>
  <c r="H95" i="5" a="1"/>
  <c r="H95" i="5" s="1"/>
  <c r="G95" i="5" s="1"/>
  <c r="R96" i="5" l="1"/>
  <c r="H96" i="5" a="1"/>
  <c r="H96" i="5" s="1"/>
  <c r="G96" i="5" s="1"/>
  <c r="C97" i="5"/>
  <c r="D97" i="5" s="1"/>
  <c r="R97" i="5" l="1"/>
  <c r="C98" i="5"/>
  <c r="D98" i="5" s="1"/>
  <c r="H97" i="5" a="1"/>
  <c r="H97" i="5" s="1"/>
  <c r="G97" i="5" s="1"/>
  <c r="R98" i="5" l="1"/>
  <c r="H98" i="5" a="1"/>
  <c r="H98" i="5" s="1"/>
  <c r="G98" i="5" s="1"/>
  <c r="C99" i="5"/>
  <c r="D99" i="5" s="1"/>
  <c r="C100" i="5" l="1"/>
  <c r="R99" i="5"/>
  <c r="H99" i="5" a="1"/>
  <c r="H99" i="5" s="1"/>
  <c r="G99" i="5" s="1"/>
  <c r="D39" i="5" l="1"/>
  <c r="D40" i="5"/>
  <c r="F40" i="5" s="1"/>
  <c r="D42" i="5"/>
  <c r="D41" i="5"/>
  <c r="D43" i="5"/>
  <c r="D44" i="5"/>
  <c r="D31" i="5"/>
  <c r="F31" i="5" s="1"/>
  <c r="K31" i="5" s="1"/>
  <c r="L31" i="5" s="1"/>
  <c r="D32" i="5"/>
  <c r="F32" i="5" s="1"/>
  <c r="K32" i="5" s="1"/>
  <c r="L32" i="5" s="1"/>
  <c r="D33" i="5"/>
  <c r="F33" i="5" s="1"/>
  <c r="K33" i="5" s="1"/>
  <c r="L33" i="5" s="1"/>
  <c r="D36" i="5"/>
  <c r="F36" i="5" s="1"/>
  <c r="O36" i="5" s="1"/>
  <c r="D34" i="5"/>
  <c r="F34" i="5" s="1"/>
  <c r="O34" i="5" s="1"/>
  <c r="D35" i="5"/>
  <c r="F35" i="5" s="1"/>
  <c r="K35" i="5" s="1"/>
  <c r="L35" i="5" s="1"/>
  <c r="D37" i="5"/>
  <c r="F37" i="5" s="1"/>
  <c r="O37" i="5" s="1"/>
  <c r="D38" i="5"/>
  <c r="F38" i="5" s="1"/>
  <c r="K38" i="5" s="1"/>
  <c r="L38" i="5" s="1"/>
  <c r="D100" i="5"/>
  <c r="D11" i="5"/>
  <c r="D12" i="5"/>
  <c r="F12" i="5" s="1"/>
  <c r="O12" i="5" s="1"/>
  <c r="D13" i="5"/>
  <c r="F13" i="5" s="1"/>
  <c r="K13" i="5" s="1"/>
  <c r="L13" i="5" s="1"/>
  <c r="D14" i="5"/>
  <c r="F14" i="5" s="1"/>
  <c r="K14" i="5" s="1"/>
  <c r="L14" i="5" s="1"/>
  <c r="D15" i="5"/>
  <c r="F15" i="5" s="1"/>
  <c r="K15" i="5" s="1"/>
  <c r="L15" i="5" s="1"/>
  <c r="D16" i="5"/>
  <c r="F16" i="5" s="1"/>
  <c r="D17" i="5"/>
  <c r="F17" i="5" s="1"/>
  <c r="D18" i="5"/>
  <c r="F18" i="5" s="1"/>
  <c r="O18" i="5" s="1"/>
  <c r="D19" i="5"/>
  <c r="F19" i="5" s="1"/>
  <c r="D22" i="5"/>
  <c r="F22" i="5" s="1"/>
  <c r="D20" i="5"/>
  <c r="F20" i="5" s="1"/>
  <c r="O20" i="5" s="1"/>
  <c r="D23" i="5"/>
  <c r="F23" i="5" s="1"/>
  <c r="K23" i="5" s="1"/>
  <c r="L23" i="5" s="1"/>
  <c r="D21" i="5"/>
  <c r="F21" i="5" s="1"/>
  <c r="D24" i="5"/>
  <c r="F24" i="5" s="1"/>
  <c r="O24" i="5" s="1"/>
  <c r="D25" i="5"/>
  <c r="F25" i="5" s="1"/>
  <c r="K25" i="5" s="1"/>
  <c r="L25" i="5" s="1"/>
  <c r="D26" i="5"/>
  <c r="F26" i="5" s="1"/>
  <c r="K26" i="5" s="1"/>
  <c r="L26" i="5" s="1"/>
  <c r="D27" i="5"/>
  <c r="F27" i="5" s="1"/>
  <c r="O27" i="5" s="1"/>
  <c r="D29" i="5"/>
  <c r="F29" i="5" s="1"/>
  <c r="K29" i="5" s="1"/>
  <c r="L29" i="5" s="1"/>
  <c r="D28" i="5"/>
  <c r="F28" i="5" s="1"/>
  <c r="K28" i="5" s="1"/>
  <c r="L28" i="5" s="1"/>
  <c r="D30" i="5"/>
  <c r="F30" i="5" s="1"/>
  <c r="K30" i="5" s="1"/>
  <c r="L30" i="5" s="1"/>
  <c r="F45" i="5"/>
  <c r="F46" i="5"/>
  <c r="F49" i="5"/>
  <c r="F47" i="5"/>
  <c r="F48" i="5"/>
  <c r="F50" i="5"/>
  <c r="F52" i="5"/>
  <c r="F51" i="5"/>
  <c r="F53" i="5"/>
  <c r="F54" i="5"/>
  <c r="F56" i="5"/>
  <c r="F57" i="5"/>
  <c r="F58" i="5"/>
  <c r="F55" i="5"/>
  <c r="F59" i="5"/>
  <c r="F61" i="5"/>
  <c r="F60" i="5"/>
  <c r="F63" i="5"/>
  <c r="F62" i="5"/>
  <c r="F65" i="5"/>
  <c r="F64" i="5"/>
  <c r="F66" i="5"/>
  <c r="F69" i="5"/>
  <c r="F67" i="5"/>
  <c r="F68" i="5"/>
  <c r="F72" i="5"/>
  <c r="F70" i="5"/>
  <c r="F71" i="5"/>
  <c r="F73" i="5"/>
  <c r="F74" i="5"/>
  <c r="F77" i="5"/>
  <c r="F75" i="5"/>
  <c r="F76" i="5"/>
  <c r="F78" i="5"/>
  <c r="F79" i="5"/>
  <c r="F81" i="5"/>
  <c r="F82" i="5"/>
  <c r="F80" i="5"/>
  <c r="F83" i="5"/>
  <c r="F85" i="5"/>
  <c r="F86" i="5"/>
  <c r="F84" i="5"/>
  <c r="F88" i="5"/>
  <c r="F87" i="5"/>
  <c r="F90" i="5"/>
  <c r="F89" i="5"/>
  <c r="F93" i="5"/>
  <c r="F91" i="5"/>
  <c r="F92" i="5"/>
  <c r="F95" i="5"/>
  <c r="F97" i="5"/>
  <c r="F94" i="5"/>
  <c r="F98" i="5"/>
  <c r="F99" i="5"/>
  <c r="F96" i="5"/>
  <c r="F43" i="5"/>
  <c r="F44" i="5"/>
  <c r="F42" i="5"/>
  <c r="U39" i="5"/>
  <c r="U64" i="5"/>
  <c r="U43" i="5"/>
  <c r="U30" i="5"/>
  <c r="U72" i="5"/>
  <c r="U100" i="5"/>
  <c r="U78" i="5"/>
  <c r="F41" i="5"/>
  <c r="F39" i="5"/>
  <c r="O39" i="5" s="1"/>
  <c r="U89" i="5"/>
  <c r="U51" i="5"/>
  <c r="U73" i="5"/>
  <c r="U74" i="5"/>
  <c r="U88" i="5"/>
  <c r="U59" i="5"/>
  <c r="U36" i="5"/>
  <c r="U92" i="5"/>
  <c r="U90" i="5"/>
  <c r="U45" i="5"/>
  <c r="U82" i="5"/>
  <c r="U47" i="5"/>
  <c r="U34" i="5"/>
  <c r="U44" i="5"/>
  <c r="U25" i="5"/>
  <c r="U21" i="5"/>
  <c r="U48" i="5"/>
  <c r="U75" i="5"/>
  <c r="U63" i="5"/>
  <c r="U94" i="5"/>
  <c r="U46" i="5"/>
  <c r="U40" i="5"/>
  <c r="U28" i="5"/>
  <c r="U15" i="5"/>
  <c r="U60" i="5"/>
  <c r="U87" i="5"/>
  <c r="U83" i="5"/>
  <c r="U91" i="5"/>
  <c r="U49" i="5"/>
  <c r="U70" i="5"/>
  <c r="U71" i="5"/>
  <c r="U16" i="5"/>
  <c r="U52" i="5"/>
  <c r="U61" i="5"/>
  <c r="U12" i="5"/>
  <c r="U93" i="5"/>
  <c r="U50" i="5"/>
  <c r="U80" i="5"/>
  <c r="U66" i="5"/>
  <c r="U56" i="5"/>
  <c r="U62" i="5"/>
  <c r="U18" i="5"/>
  <c r="U29" i="5"/>
  <c r="U23" i="5"/>
  <c r="U35" i="5"/>
  <c r="U55" i="5"/>
  <c r="U38" i="5"/>
  <c r="U41" i="5"/>
  <c r="U99" i="5"/>
  <c r="U22" i="5"/>
  <c r="U57" i="5"/>
  <c r="U42" i="5"/>
  <c r="U13" i="5"/>
  <c r="U32" i="5"/>
  <c r="U37" i="5"/>
  <c r="U65" i="5"/>
  <c r="U98" i="5"/>
  <c r="U85" i="5"/>
  <c r="U76" i="5"/>
  <c r="U33" i="5"/>
  <c r="U19" i="5"/>
  <c r="U69" i="5"/>
  <c r="U67" i="5"/>
  <c r="U86" i="5"/>
  <c r="U58" i="5"/>
  <c r="U27" i="5"/>
  <c r="U77" i="5"/>
  <c r="B11" i="5" a="1"/>
  <c r="B11" i="5" s="1"/>
  <c r="AC4" i="5" s="1" a="1"/>
  <c r="AC4" i="5" s="1"/>
  <c r="U96" i="5"/>
  <c r="U17" i="5"/>
  <c r="U79" i="5"/>
  <c r="U68" i="5"/>
  <c r="U53" i="5"/>
  <c r="U97" i="5"/>
  <c r="U11" i="5"/>
  <c r="U26" i="5"/>
  <c r="U24" i="5"/>
  <c r="U31" i="5"/>
  <c r="U95" i="5"/>
  <c r="U81" i="5"/>
  <c r="F100" i="5"/>
  <c r="K100" i="5" s="1"/>
  <c r="L100" i="5" s="1"/>
  <c r="H100" i="5" a="1"/>
  <c r="H100" i="5" s="1"/>
  <c r="R100" i="5"/>
  <c r="U14" i="5"/>
  <c r="U84" i="5"/>
  <c r="K40" i="5"/>
  <c r="L40" i="5" s="1"/>
  <c r="O40" i="5"/>
  <c r="U20" i="5"/>
  <c r="U54" i="5"/>
  <c r="F11" i="5" l="1"/>
  <c r="K11" i="5" s="1"/>
  <c r="L11" i="5" s="1"/>
  <c r="G100" i="5"/>
  <c r="H8" i="5"/>
  <c r="O35" i="5"/>
  <c r="Y35" i="5" s="1"/>
  <c r="O100" i="5"/>
  <c r="P100" i="5" s="1"/>
  <c r="Q100" i="5" s="1"/>
  <c r="K55" i="5"/>
  <c r="L55" i="5" s="1"/>
  <c r="O55" i="5"/>
  <c r="P55" i="5" s="1"/>
  <c r="Q55" i="5" s="1"/>
  <c r="K77" i="5"/>
  <c r="L77" i="5" s="1"/>
  <c r="O77" i="5"/>
  <c r="P77" i="5" s="1"/>
  <c r="Q77" i="5" s="1"/>
  <c r="K62" i="5"/>
  <c r="L62" i="5" s="1"/>
  <c r="O62" i="5"/>
  <c r="P62" i="5" s="1"/>
  <c r="Q62" i="5" s="1"/>
  <c r="K58" i="5"/>
  <c r="L58" i="5" s="1"/>
  <c r="O58" i="5"/>
  <c r="P58" i="5" s="1"/>
  <c r="Q58" i="5" s="1"/>
  <c r="K81" i="5"/>
  <c r="L81" i="5" s="1"/>
  <c r="O81" i="5"/>
  <c r="P81" i="5" s="1"/>
  <c r="Q81" i="5" s="1"/>
  <c r="K50" i="5"/>
  <c r="L50" i="5" s="1"/>
  <c r="O50" i="5"/>
  <c r="P50" i="5" s="1"/>
  <c r="Q50" i="5" s="1"/>
  <c r="K86" i="5"/>
  <c r="L86" i="5" s="1"/>
  <c r="O86" i="5"/>
  <c r="P86" i="5" s="1"/>
  <c r="Q86" i="5" s="1"/>
  <c r="K74" i="5"/>
  <c r="L74" i="5" s="1"/>
  <c r="O74" i="5"/>
  <c r="P74" i="5" s="1"/>
  <c r="Q74" i="5" s="1"/>
  <c r="K57" i="5"/>
  <c r="L57" i="5" s="1"/>
  <c r="O57" i="5"/>
  <c r="P57" i="5" s="1"/>
  <c r="Q57" i="5" s="1"/>
  <c r="K48" i="5"/>
  <c r="L48" i="5" s="1"/>
  <c r="O48" i="5"/>
  <c r="P48" i="5" s="1"/>
  <c r="Q48" i="5" s="1"/>
  <c r="K93" i="5"/>
  <c r="L93" i="5" s="1"/>
  <c r="O93" i="5"/>
  <c r="P93" i="5" s="1"/>
  <c r="Q93" i="5" s="1"/>
  <c r="K97" i="5"/>
  <c r="L97" i="5" s="1"/>
  <c r="O97" i="5"/>
  <c r="P97" i="5" s="1"/>
  <c r="Q97" i="5" s="1"/>
  <c r="K73" i="5"/>
  <c r="L73" i="5" s="1"/>
  <c r="O73" i="5"/>
  <c r="P73" i="5" s="1"/>
  <c r="Q73" i="5" s="1"/>
  <c r="K69" i="5"/>
  <c r="L69" i="5" s="1"/>
  <c r="O69" i="5"/>
  <c r="P69" i="5" s="1"/>
  <c r="Q69" i="5" s="1"/>
  <c r="K56" i="5"/>
  <c r="L56" i="5" s="1"/>
  <c r="O56" i="5"/>
  <c r="P56" i="5" s="1"/>
  <c r="Q56" i="5" s="1"/>
  <c r="K47" i="5"/>
  <c r="L47" i="5" s="1"/>
  <c r="O47" i="5"/>
  <c r="P47" i="5" s="1"/>
  <c r="Q47" i="5" s="1"/>
  <c r="K78" i="5"/>
  <c r="L78" i="5" s="1"/>
  <c r="O78" i="5"/>
  <c r="P78" i="5" s="1"/>
  <c r="Q78" i="5" s="1"/>
  <c r="K71" i="5"/>
  <c r="L71" i="5" s="1"/>
  <c r="O71" i="5"/>
  <c r="P71" i="5" s="1"/>
  <c r="Q71" i="5" s="1"/>
  <c r="K66" i="5"/>
  <c r="L66" i="5" s="1"/>
  <c r="O66" i="5"/>
  <c r="P66" i="5" s="1"/>
  <c r="Q66" i="5" s="1"/>
  <c r="K61" i="5"/>
  <c r="L61" i="5" s="1"/>
  <c r="O61" i="5"/>
  <c r="P61" i="5" s="1"/>
  <c r="Q61" i="5" s="1"/>
  <c r="K54" i="5"/>
  <c r="L54" i="5" s="1"/>
  <c r="O54" i="5"/>
  <c r="P54" i="5" s="1"/>
  <c r="Q54" i="5" s="1"/>
  <c r="K49" i="5"/>
  <c r="L49" i="5" s="1"/>
  <c r="O49" i="5"/>
  <c r="P49" i="5" s="1"/>
  <c r="Q49" i="5" s="1"/>
  <c r="K83" i="5"/>
  <c r="L83" i="5" s="1"/>
  <c r="O83" i="5"/>
  <c r="P83" i="5" s="1"/>
  <c r="Q83" i="5" s="1"/>
  <c r="K76" i="5"/>
  <c r="L76" i="5" s="1"/>
  <c r="O76" i="5"/>
  <c r="P76" i="5" s="1"/>
  <c r="Q76" i="5" s="1"/>
  <c r="K70" i="5"/>
  <c r="L70" i="5" s="1"/>
  <c r="O70" i="5"/>
  <c r="P70" i="5" s="1"/>
  <c r="Q70" i="5" s="1"/>
  <c r="K64" i="5"/>
  <c r="L64" i="5" s="1"/>
  <c r="O64" i="5"/>
  <c r="P64" i="5" s="1"/>
  <c r="Q64" i="5" s="1"/>
  <c r="K53" i="5"/>
  <c r="L53" i="5" s="1"/>
  <c r="O53" i="5"/>
  <c r="P53" i="5" s="1"/>
  <c r="Q53" i="5" s="1"/>
  <c r="K46" i="5"/>
  <c r="L46" i="5" s="1"/>
  <c r="O46" i="5"/>
  <c r="P46" i="5" s="1"/>
  <c r="Q46" i="5" s="1"/>
  <c r="K87" i="5"/>
  <c r="L87" i="5" s="1"/>
  <c r="O87" i="5"/>
  <c r="P87" i="5" s="1"/>
  <c r="Q87" i="5" s="1"/>
  <c r="K96" i="5"/>
  <c r="L96" i="5" s="1"/>
  <c r="O96" i="5"/>
  <c r="P96" i="5" s="1"/>
  <c r="Q96" i="5" s="1"/>
  <c r="K91" i="5"/>
  <c r="L91" i="5" s="1"/>
  <c r="O91" i="5"/>
  <c r="P91" i="5" s="1"/>
  <c r="Q91" i="5" s="1"/>
  <c r="K72" i="5"/>
  <c r="L72" i="5" s="1"/>
  <c r="O72" i="5"/>
  <c r="P72" i="5" s="1"/>
  <c r="Q72" i="5" s="1"/>
  <c r="K51" i="5"/>
  <c r="L51" i="5" s="1"/>
  <c r="O51" i="5"/>
  <c r="P51" i="5" s="1"/>
  <c r="Q51" i="5" s="1"/>
  <c r="K45" i="5"/>
  <c r="L45" i="5" s="1"/>
  <c r="O45" i="5"/>
  <c r="P45" i="5" s="1"/>
  <c r="Q45" i="5" s="1"/>
  <c r="K67" i="5"/>
  <c r="L67" i="5" s="1"/>
  <c r="O67" i="5"/>
  <c r="P67" i="5" s="1"/>
  <c r="Q67" i="5" s="1"/>
  <c r="K94" i="5"/>
  <c r="L94" i="5" s="1"/>
  <c r="O94" i="5"/>
  <c r="P94" i="5" s="1"/>
  <c r="Q94" i="5" s="1"/>
  <c r="K82" i="5"/>
  <c r="L82" i="5" s="1"/>
  <c r="O82" i="5"/>
  <c r="P82" i="5" s="1"/>
  <c r="Q82" i="5" s="1"/>
  <c r="K68" i="5"/>
  <c r="L68" i="5" s="1"/>
  <c r="O68" i="5"/>
  <c r="P68" i="5" s="1"/>
  <c r="Q68" i="5" s="1"/>
  <c r="K85" i="5"/>
  <c r="L85" i="5" s="1"/>
  <c r="O85" i="5"/>
  <c r="P85" i="5" s="1"/>
  <c r="Q85" i="5" s="1"/>
  <c r="K92" i="5"/>
  <c r="L92" i="5" s="1"/>
  <c r="O92" i="5"/>
  <c r="P92" i="5" s="1"/>
  <c r="Q92" i="5" s="1"/>
  <c r="K88" i="5"/>
  <c r="L88" i="5" s="1"/>
  <c r="O88" i="5"/>
  <c r="P88" i="5" s="1"/>
  <c r="Q88" i="5" s="1"/>
  <c r="K84" i="5"/>
  <c r="L84" i="5" s="1"/>
  <c r="O84" i="5"/>
  <c r="P84" i="5" s="1"/>
  <c r="Q84" i="5" s="1"/>
  <c r="K79" i="5"/>
  <c r="L79" i="5" s="1"/>
  <c r="O79" i="5"/>
  <c r="P79" i="5" s="1"/>
  <c r="Q79" i="5" s="1"/>
  <c r="K59" i="5"/>
  <c r="L59" i="5" s="1"/>
  <c r="O59" i="5"/>
  <c r="P59" i="5" s="1"/>
  <c r="Q59" i="5" s="1"/>
  <c r="K52" i="5"/>
  <c r="L52" i="5" s="1"/>
  <c r="O52" i="5"/>
  <c r="P52" i="5" s="1"/>
  <c r="Q52" i="5" s="1"/>
  <c r="K65" i="5"/>
  <c r="L65" i="5" s="1"/>
  <c r="O65" i="5"/>
  <c r="P65" i="5" s="1"/>
  <c r="Q65" i="5" s="1"/>
  <c r="K95" i="5"/>
  <c r="L95" i="5" s="1"/>
  <c r="O95" i="5"/>
  <c r="P95" i="5" s="1"/>
  <c r="Q95" i="5" s="1"/>
  <c r="K90" i="5"/>
  <c r="L90" i="5" s="1"/>
  <c r="O90" i="5"/>
  <c r="P90" i="5" s="1"/>
  <c r="Q90" i="5" s="1"/>
  <c r="K75" i="5"/>
  <c r="L75" i="5" s="1"/>
  <c r="O75" i="5"/>
  <c r="P75" i="5" s="1"/>
  <c r="Q75" i="5" s="1"/>
  <c r="K60" i="5"/>
  <c r="L60" i="5" s="1"/>
  <c r="O60" i="5"/>
  <c r="P60" i="5" s="1"/>
  <c r="Q60" i="5" s="1"/>
  <c r="K89" i="5"/>
  <c r="L89" i="5" s="1"/>
  <c r="O89" i="5"/>
  <c r="P89" i="5" s="1"/>
  <c r="Q89" i="5" s="1"/>
  <c r="K80" i="5"/>
  <c r="L80" i="5" s="1"/>
  <c r="O80" i="5"/>
  <c r="P80" i="5" s="1"/>
  <c r="Q80" i="5" s="1"/>
  <c r="K63" i="5"/>
  <c r="L63" i="5" s="1"/>
  <c r="O63" i="5"/>
  <c r="P63" i="5" s="1"/>
  <c r="Q63" i="5" s="1"/>
  <c r="K99" i="5"/>
  <c r="L99" i="5" s="1"/>
  <c r="O99" i="5"/>
  <c r="P99" i="5" s="1"/>
  <c r="Q99" i="5" s="1"/>
  <c r="K98" i="5"/>
  <c r="L98" i="5" s="1"/>
  <c r="O98" i="5"/>
  <c r="P98" i="5" s="1"/>
  <c r="Q98" i="5" s="1"/>
  <c r="K24" i="5"/>
  <c r="L24" i="5" s="1"/>
  <c r="O28" i="5"/>
  <c r="P28" i="5" s="1"/>
  <c r="Q28" i="5" s="1"/>
  <c r="O29" i="5"/>
  <c r="P29" i="5" s="1"/>
  <c r="Q29" i="5" s="1"/>
  <c r="O25" i="5"/>
  <c r="V25" i="5" s="1"/>
  <c r="W25" i="5" s="1"/>
  <c r="X25" i="5" s="1"/>
  <c r="O13" i="5"/>
  <c r="P13" i="5" s="1"/>
  <c r="Q13" i="5" s="1"/>
  <c r="O23" i="5"/>
  <c r="P23" i="5" s="1"/>
  <c r="Q23" i="5" s="1"/>
  <c r="O30" i="5"/>
  <c r="Y30" i="5" s="1"/>
  <c r="K12" i="5"/>
  <c r="L12" i="5" s="1"/>
  <c r="K42" i="5"/>
  <c r="L42" i="5" s="1"/>
  <c r="O42" i="5"/>
  <c r="P42" i="5" s="1"/>
  <c r="Q42" i="5" s="1"/>
  <c r="K44" i="5"/>
  <c r="L44" i="5" s="1"/>
  <c r="O44" i="5"/>
  <c r="P44" i="5" s="1"/>
  <c r="Q44" i="5" s="1"/>
  <c r="K43" i="5"/>
  <c r="L43" i="5" s="1"/>
  <c r="O43" i="5"/>
  <c r="O38" i="5"/>
  <c r="Y38" i="5" s="1"/>
  <c r="K27" i="5"/>
  <c r="L27" i="5" s="1"/>
  <c r="O32" i="5"/>
  <c r="V32" i="5" s="1"/>
  <c r="W32" i="5" s="1"/>
  <c r="X32" i="5" s="1"/>
  <c r="K36" i="5"/>
  <c r="L36" i="5" s="1"/>
  <c r="K37" i="5"/>
  <c r="L37" i="5" s="1"/>
  <c r="K39" i="5"/>
  <c r="L39" i="5" s="1"/>
  <c r="K34" i="5"/>
  <c r="L34" i="5" s="1"/>
  <c r="O26" i="5"/>
  <c r="P26" i="5" s="1"/>
  <c r="Q26" i="5" s="1"/>
  <c r="K41" i="5"/>
  <c r="L41" i="5" s="1"/>
  <c r="O41" i="5"/>
  <c r="P41" i="5" s="1"/>
  <c r="Q41" i="5" s="1"/>
  <c r="O14" i="5"/>
  <c r="Y14" i="5" s="1"/>
  <c r="O33" i="5"/>
  <c r="V33" i="5" s="1"/>
  <c r="W33" i="5" s="1"/>
  <c r="X33" i="5" s="1"/>
  <c r="Y34" i="5"/>
  <c r="K18" i="5"/>
  <c r="L18" i="5" s="1"/>
  <c r="O31" i="5"/>
  <c r="P31" i="5" s="1"/>
  <c r="Q31" i="5" s="1"/>
  <c r="K20" i="5"/>
  <c r="L20" i="5" s="1"/>
  <c r="Y40" i="5"/>
  <c r="O15" i="5"/>
  <c r="V15" i="5" s="1"/>
  <c r="W15" i="5" s="1"/>
  <c r="X15" i="5" s="1"/>
  <c r="Y18" i="5"/>
  <c r="P20" i="5"/>
  <c r="Q20" i="5" s="1"/>
  <c r="V20" i="5"/>
  <c r="W20" i="5" s="1"/>
  <c r="X20" i="5" s="1"/>
  <c r="K19" i="5"/>
  <c r="L19" i="5" s="1"/>
  <c r="O19" i="5"/>
  <c r="K22" i="5"/>
  <c r="L22" i="5" s="1"/>
  <c r="O22" i="5"/>
  <c r="K21" i="5"/>
  <c r="L21" i="5" s="1"/>
  <c r="O21" i="5"/>
  <c r="K17" i="5"/>
  <c r="L17" i="5" s="1"/>
  <c r="O17" i="5"/>
  <c r="P39" i="5"/>
  <c r="Q39" i="5" s="1"/>
  <c r="V39" i="5"/>
  <c r="W39" i="5" s="1"/>
  <c r="X39" i="5" s="1"/>
  <c r="K16" i="5"/>
  <c r="L16" i="5" s="1"/>
  <c r="O16" i="5"/>
  <c r="P37" i="5"/>
  <c r="Q37" i="5" s="1"/>
  <c r="V37" i="5"/>
  <c r="W37" i="5" s="1"/>
  <c r="X37" i="5" s="1"/>
  <c r="P18" i="5"/>
  <c r="Q18" i="5" s="1"/>
  <c r="V18" i="5"/>
  <c r="W18" i="5" s="1"/>
  <c r="X18" i="5" s="1"/>
  <c r="P27" i="5"/>
  <c r="Q27" i="5" s="1"/>
  <c r="V27" i="5"/>
  <c r="W27" i="5" s="1"/>
  <c r="X27" i="5" s="1"/>
  <c r="Y27" i="5"/>
  <c r="P36" i="5"/>
  <c r="Q36" i="5" s="1"/>
  <c r="V36" i="5"/>
  <c r="W36" i="5" s="1"/>
  <c r="X36" i="5" s="1"/>
  <c r="P12" i="5"/>
  <c r="Q12" i="5" s="1"/>
  <c r="V12" i="5"/>
  <c r="W12" i="5" s="1"/>
  <c r="X12" i="5" s="1"/>
  <c r="Y12" i="5"/>
  <c r="P40" i="5"/>
  <c r="Q40" i="5" s="1"/>
  <c r="V40" i="5"/>
  <c r="W40" i="5" s="1"/>
  <c r="X40" i="5" s="1"/>
  <c r="Y36" i="5"/>
  <c r="P24" i="5"/>
  <c r="Q24" i="5" s="1"/>
  <c r="Y24" i="5"/>
  <c r="V24" i="5"/>
  <c r="W24" i="5" s="1"/>
  <c r="X24" i="5" s="1"/>
  <c r="Y37" i="5"/>
  <c r="P34" i="5"/>
  <c r="Q34" i="5" s="1"/>
  <c r="V34" i="5"/>
  <c r="W34" i="5" s="1"/>
  <c r="X34" i="5" s="1"/>
  <c r="Y20" i="5"/>
  <c r="Y39" i="5"/>
  <c r="O11" i="5" l="1"/>
  <c r="P11" i="5" s="1"/>
  <c r="Q11" i="5" s="1"/>
  <c r="O28" i="21"/>
  <c r="K74" i="21" s="1"/>
  <c r="R28" i="21"/>
  <c r="K76" i="21" s="1"/>
  <c r="N75" i="21" s="1"/>
  <c r="L28" i="21"/>
  <c r="K72" i="21" s="1"/>
  <c r="I28" i="21"/>
  <c r="K70" i="21" s="1"/>
  <c r="F28" i="21"/>
  <c r="K68" i="21" s="1"/>
  <c r="P35" i="5"/>
  <c r="Q35" i="5" s="1"/>
  <c r="V94" i="5"/>
  <c r="W94" i="5" s="1"/>
  <c r="X94" i="5" s="1"/>
  <c r="Y57" i="5"/>
  <c r="Y54" i="5"/>
  <c r="V70" i="5"/>
  <c r="W70" i="5" s="1"/>
  <c r="X70" i="5" s="1"/>
  <c r="Y100" i="5"/>
  <c r="V100" i="5"/>
  <c r="W100" i="5" s="1"/>
  <c r="X100" i="5" s="1"/>
  <c r="V59" i="5"/>
  <c r="W59" i="5" s="1"/>
  <c r="X59" i="5" s="1"/>
  <c r="V55" i="5"/>
  <c r="W55" i="5" s="1"/>
  <c r="X55" i="5" s="1"/>
  <c r="V54" i="5"/>
  <c r="W54" i="5" s="1"/>
  <c r="X54" i="5" s="1"/>
  <c r="Y73" i="5"/>
  <c r="Y55" i="5"/>
  <c r="V57" i="5"/>
  <c r="W57" i="5" s="1"/>
  <c r="X57" i="5" s="1"/>
  <c r="V81" i="5"/>
  <c r="W81" i="5" s="1"/>
  <c r="X81" i="5" s="1"/>
  <c r="V78" i="5"/>
  <c r="W78" i="5" s="1"/>
  <c r="X78" i="5" s="1"/>
  <c r="Y47" i="5"/>
  <c r="V82" i="5"/>
  <c r="W82" i="5" s="1"/>
  <c r="X82" i="5" s="1"/>
  <c r="V35" i="5"/>
  <c r="W35" i="5" s="1"/>
  <c r="X35" i="5" s="1"/>
  <c r="Y87" i="5"/>
  <c r="Y51" i="5"/>
  <c r="Y81" i="5"/>
  <c r="Y29" i="5"/>
  <c r="Y70" i="5"/>
  <c r="V52" i="5"/>
  <c r="W52" i="5" s="1"/>
  <c r="X52" i="5" s="1"/>
  <c r="V87" i="5"/>
  <c r="W87" i="5" s="1"/>
  <c r="X87" i="5" s="1"/>
  <c r="Y82" i="5"/>
  <c r="Y95" i="5"/>
  <c r="V62" i="5"/>
  <c r="W62" i="5" s="1"/>
  <c r="X62" i="5" s="1"/>
  <c r="V95" i="5"/>
  <c r="W95" i="5" s="1"/>
  <c r="X95" i="5" s="1"/>
  <c r="V75" i="5"/>
  <c r="W75" i="5" s="1"/>
  <c r="X75" i="5" s="1"/>
  <c r="Y64" i="5"/>
  <c r="V96" i="5"/>
  <c r="W96" i="5" s="1"/>
  <c r="X96" i="5" s="1"/>
  <c r="Y93" i="5"/>
  <c r="Y62" i="5"/>
  <c r="Y80" i="5"/>
  <c r="V60" i="5"/>
  <c r="W60" i="5" s="1"/>
  <c r="X60" i="5" s="1"/>
  <c r="Y89" i="5"/>
  <c r="Y56" i="5"/>
  <c r="Y79" i="5"/>
  <c r="V85" i="5"/>
  <c r="W85" i="5" s="1"/>
  <c r="X85" i="5" s="1"/>
  <c r="V98" i="5"/>
  <c r="W98" i="5" s="1"/>
  <c r="X98" i="5" s="1"/>
  <c r="V56" i="5"/>
  <c r="W56" i="5" s="1"/>
  <c r="X56" i="5" s="1"/>
  <c r="Y69" i="5"/>
  <c r="V71" i="5"/>
  <c r="W71" i="5" s="1"/>
  <c r="X71" i="5" s="1"/>
  <c r="Y50" i="5"/>
  <c r="Y53" i="5"/>
  <c r="Y77" i="5"/>
  <c r="Y71" i="5"/>
  <c r="Y48" i="5"/>
  <c r="V45" i="5"/>
  <c r="W45" i="5" s="1"/>
  <c r="X45" i="5" s="1"/>
  <c r="V92" i="5"/>
  <c r="W92" i="5" s="1"/>
  <c r="X92" i="5" s="1"/>
  <c r="V66" i="5"/>
  <c r="W66" i="5" s="1"/>
  <c r="X66" i="5" s="1"/>
  <c r="Y59" i="5"/>
  <c r="Y52" i="5"/>
  <c r="V50" i="5"/>
  <c r="W50" i="5" s="1"/>
  <c r="X50" i="5" s="1"/>
  <c r="V65" i="5"/>
  <c r="W65" i="5" s="1"/>
  <c r="X65" i="5" s="1"/>
  <c r="Y49" i="5"/>
  <c r="V64" i="5"/>
  <c r="W64" i="5" s="1"/>
  <c r="X64" i="5" s="1"/>
  <c r="Y86" i="5"/>
  <c r="Y28" i="5"/>
  <c r="V86" i="5"/>
  <c r="W86" i="5" s="1"/>
  <c r="X86" i="5" s="1"/>
  <c r="Y63" i="5"/>
  <c r="Y45" i="5"/>
  <c r="Y88" i="5"/>
  <c r="V77" i="5"/>
  <c r="W77" i="5" s="1"/>
  <c r="X77" i="5" s="1"/>
  <c r="V53" i="5"/>
  <c r="W53" i="5" s="1"/>
  <c r="X53" i="5" s="1"/>
  <c r="Y78" i="5"/>
  <c r="V91" i="5"/>
  <c r="W91" i="5" s="1"/>
  <c r="X91" i="5" s="1"/>
  <c r="Y66" i="5"/>
  <c r="V49" i="5"/>
  <c r="W49" i="5" s="1"/>
  <c r="X49" i="5" s="1"/>
  <c r="V69" i="5"/>
  <c r="W69" i="5" s="1"/>
  <c r="X69" i="5" s="1"/>
  <c r="V88" i="5"/>
  <c r="W88" i="5" s="1"/>
  <c r="X88" i="5" s="1"/>
  <c r="V99" i="5"/>
  <c r="W99" i="5" s="1"/>
  <c r="X99" i="5" s="1"/>
  <c r="V67" i="5"/>
  <c r="W67" i="5" s="1"/>
  <c r="X67" i="5" s="1"/>
  <c r="V83" i="5"/>
  <c r="W83" i="5" s="1"/>
  <c r="X83" i="5" s="1"/>
  <c r="V48" i="5"/>
  <c r="W48" i="5" s="1"/>
  <c r="X48" i="5" s="1"/>
  <c r="Y83" i="5"/>
  <c r="V93" i="5"/>
  <c r="W93" i="5" s="1"/>
  <c r="X93" i="5" s="1"/>
  <c r="V29" i="5"/>
  <c r="W29" i="5" s="1"/>
  <c r="X29" i="5" s="1"/>
  <c r="P25" i="5"/>
  <c r="Q25" i="5" s="1"/>
  <c r="Y25" i="5"/>
  <c r="V84" i="5"/>
  <c r="W84" i="5" s="1"/>
  <c r="X84" i="5" s="1"/>
  <c r="Y65" i="5"/>
  <c r="Y99" i="5"/>
  <c r="Y84" i="5"/>
  <c r="V90" i="5"/>
  <c r="W90" i="5" s="1"/>
  <c r="X90" i="5" s="1"/>
  <c r="Y67" i="5"/>
  <c r="Y60" i="5"/>
  <c r="Y85" i="5"/>
  <c r="V51" i="5"/>
  <c r="W51" i="5" s="1"/>
  <c r="X51" i="5" s="1"/>
  <c r="V79" i="5"/>
  <c r="W79" i="5" s="1"/>
  <c r="X79" i="5" s="1"/>
  <c r="Y92" i="5"/>
  <c r="Y90" i="5"/>
  <c r="Y96" i="5"/>
  <c r="V73" i="5"/>
  <c r="W73" i="5" s="1"/>
  <c r="X73" i="5" s="1"/>
  <c r="Y75" i="5"/>
  <c r="Y91" i="5"/>
  <c r="V80" i="5"/>
  <c r="W80" i="5" s="1"/>
  <c r="X80" i="5" s="1"/>
  <c r="V46" i="5"/>
  <c r="W46" i="5" s="1"/>
  <c r="X46" i="5" s="1"/>
  <c r="Y68" i="5"/>
  <c r="Y97" i="5"/>
  <c r="Y61" i="5"/>
  <c r="V72" i="5"/>
  <c r="W72" i="5" s="1"/>
  <c r="X72" i="5" s="1"/>
  <c r="V58" i="5"/>
  <c r="W58" i="5" s="1"/>
  <c r="X58" i="5" s="1"/>
  <c r="V76" i="5"/>
  <c r="W76" i="5" s="1"/>
  <c r="X76" i="5" s="1"/>
  <c r="V47" i="5"/>
  <c r="W47" i="5" s="1"/>
  <c r="X47" i="5" s="1"/>
  <c r="Y76" i="5"/>
  <c r="V89" i="5"/>
  <c r="W89" i="5" s="1"/>
  <c r="X89" i="5" s="1"/>
  <c r="Y74" i="5"/>
  <c r="V74" i="5"/>
  <c r="W74" i="5" s="1"/>
  <c r="X74" i="5" s="1"/>
  <c r="Y98" i="5"/>
  <c r="V61" i="5"/>
  <c r="W61" i="5" s="1"/>
  <c r="X61" i="5" s="1"/>
  <c r="V68" i="5"/>
  <c r="W68" i="5" s="1"/>
  <c r="X68" i="5" s="1"/>
  <c r="V97" i="5"/>
  <c r="W97" i="5" s="1"/>
  <c r="X97" i="5" s="1"/>
  <c r="Y46" i="5"/>
  <c r="V63" i="5"/>
  <c r="W63" i="5" s="1"/>
  <c r="X63" i="5" s="1"/>
  <c r="Y72" i="5"/>
  <c r="Y58" i="5"/>
  <c r="Y94" i="5"/>
  <c r="V28" i="5"/>
  <c r="W28" i="5" s="1"/>
  <c r="X28" i="5" s="1"/>
  <c r="V13" i="5"/>
  <c r="W13" i="5" s="1"/>
  <c r="X13" i="5" s="1"/>
  <c r="Y13" i="5"/>
  <c r="V23" i="5"/>
  <c r="W23" i="5" s="1"/>
  <c r="X23" i="5" s="1"/>
  <c r="Y23" i="5"/>
  <c r="V30" i="5"/>
  <c r="W30" i="5" s="1"/>
  <c r="X30" i="5" s="1"/>
  <c r="P38" i="5"/>
  <c r="Q38" i="5" s="1"/>
  <c r="P30" i="5"/>
  <c r="Q30" i="5" s="1"/>
  <c r="V38" i="5"/>
  <c r="W38" i="5" s="1"/>
  <c r="X38" i="5" s="1"/>
  <c r="V42" i="5"/>
  <c r="W42" i="5" s="1"/>
  <c r="X42" i="5" s="1"/>
  <c r="Y42" i="5"/>
  <c r="V44" i="5"/>
  <c r="W44" i="5" s="1"/>
  <c r="X44" i="5" s="1"/>
  <c r="Y26" i="5"/>
  <c r="V26" i="5"/>
  <c r="W26" i="5" s="1"/>
  <c r="X26" i="5" s="1"/>
  <c r="Y44" i="5"/>
  <c r="Y32" i="5"/>
  <c r="P32" i="5"/>
  <c r="Q32" i="5" s="1"/>
  <c r="P43" i="5"/>
  <c r="Q43" i="5" s="1"/>
  <c r="V43" i="5"/>
  <c r="W43" i="5" s="1"/>
  <c r="X43" i="5" s="1"/>
  <c r="Y43" i="5"/>
  <c r="V14" i="5"/>
  <c r="W14" i="5" s="1"/>
  <c r="X14" i="5" s="1"/>
  <c r="P14" i="5"/>
  <c r="Q14" i="5" s="1"/>
  <c r="P33" i="5"/>
  <c r="Q33" i="5" s="1"/>
  <c r="Y41" i="5"/>
  <c r="Y33" i="5"/>
  <c r="V41" i="5"/>
  <c r="W41" i="5" s="1"/>
  <c r="X41" i="5" s="1"/>
  <c r="V31" i="5"/>
  <c r="W31" i="5" s="1"/>
  <c r="X31" i="5" s="1"/>
  <c r="Y31" i="5"/>
  <c r="Y15" i="5"/>
  <c r="P15" i="5"/>
  <c r="Q15" i="5" s="1"/>
  <c r="P16" i="5"/>
  <c r="Q16" i="5" s="1"/>
  <c r="Y16" i="5"/>
  <c r="V16" i="5"/>
  <c r="W16" i="5" s="1"/>
  <c r="X16" i="5" s="1"/>
  <c r="P19" i="5"/>
  <c r="Q19" i="5" s="1"/>
  <c r="V19" i="5"/>
  <c r="W19" i="5" s="1"/>
  <c r="X19" i="5" s="1"/>
  <c r="Y19" i="5"/>
  <c r="P17" i="5"/>
  <c r="Q17" i="5" s="1"/>
  <c r="V17" i="5"/>
  <c r="W17" i="5" s="1"/>
  <c r="X17" i="5" s="1"/>
  <c r="Y17" i="5"/>
  <c r="P22" i="5"/>
  <c r="Q22" i="5" s="1"/>
  <c r="V22" i="5"/>
  <c r="W22" i="5" s="1"/>
  <c r="X22" i="5" s="1"/>
  <c r="Y22" i="5"/>
  <c r="P21" i="5"/>
  <c r="Q21" i="5" s="1"/>
  <c r="V21" i="5"/>
  <c r="W21" i="5" s="1"/>
  <c r="X21" i="5" s="1"/>
  <c r="Y21" i="5"/>
  <c r="C28" i="21" l="1"/>
  <c r="G4" i="5" a="1"/>
  <c r="G4" i="5" s="1"/>
  <c r="Y11" i="5"/>
  <c r="L17" i="11" s="1"/>
  <c r="AC2" i="5"/>
  <c r="V11" i="5"/>
  <c r="W11" i="5" s="1"/>
  <c r="W2" i="5" s="1"/>
  <c r="AC3" i="5"/>
  <c r="C30" i="21"/>
  <c r="C33" i="21" s="1"/>
  <c r="C35" i="21" s="1"/>
  <c r="H21" i="11" s="1"/>
  <c r="N73" i="21"/>
  <c r="N71" i="21" s="1"/>
  <c r="N69" i="21" s="1"/>
  <c r="C75" i="21"/>
  <c r="L45" i="4" s="1"/>
  <c r="O45" i="4" s="1" a="1"/>
  <c r="O45" i="4" s="1"/>
  <c r="B45" i="29" l="1"/>
  <c r="B46" i="29"/>
  <c r="AC5" i="5"/>
  <c r="B19" i="30" s="1"/>
  <c r="C31" i="21"/>
  <c r="X11" i="5"/>
  <c r="L16" i="11" s="1"/>
  <c r="C39" i="21" s="1"/>
  <c r="B28" i="30"/>
  <c r="N67" i="21"/>
  <c r="C61" i="21" s="1"/>
  <c r="L21" i="11" s="1"/>
  <c r="C62" i="21"/>
  <c r="H209" i="4" s="1"/>
  <c r="N45" i="4"/>
  <c r="H20" i="11" s="1"/>
  <c r="A43" i="30" a="1"/>
  <c r="C65" i="30" s="1" a="1"/>
  <c r="C65" i="30" s="1"/>
  <c r="B44" i="29"/>
  <c r="D36" i="29"/>
  <c r="E1" i="28" l="1"/>
  <c r="U62" i="28" s="1"/>
  <c r="B17" i="29"/>
  <c r="S117" i="4" a="1"/>
  <c r="J209" i="4"/>
  <c r="L112" i="4"/>
  <c r="J214" i="4" a="1"/>
  <c r="J214" i="4" s="1"/>
  <c r="L214" i="4" s="1"/>
  <c r="I31" i="11"/>
  <c r="A43" i="30"/>
  <c r="G18" i="28"/>
  <c r="F18" i="28" s="1"/>
  <c r="G10" i="28"/>
  <c r="F10" i="28" s="1"/>
  <c r="G8" i="28"/>
  <c r="F8" i="28" s="1"/>
  <c r="G17" i="28"/>
  <c r="F17" i="28" s="1"/>
  <c r="G9" i="28"/>
  <c r="F9" i="28" s="1"/>
  <c r="G16" i="28"/>
  <c r="F16" i="28" s="1"/>
  <c r="G15" i="28"/>
  <c r="F15" i="28" s="1"/>
  <c r="G7" i="28"/>
  <c r="F7" i="28" s="1"/>
  <c r="G14" i="28"/>
  <c r="F14" i="28" s="1"/>
  <c r="G6" i="28"/>
  <c r="F6" i="28" s="1"/>
  <c r="G12" i="28"/>
  <c r="F12" i="28" s="1"/>
  <c r="G13" i="28"/>
  <c r="F13" i="28" s="1"/>
  <c r="G5" i="28"/>
  <c r="F5" i="28" s="1"/>
  <c r="G4" i="28"/>
  <c r="G11" i="28"/>
  <c r="F11" i="28" s="1"/>
  <c r="G27" i="28"/>
  <c r="F27" i="28" s="1"/>
  <c r="G37" i="28"/>
  <c r="F37" i="28" s="1"/>
  <c r="G56" i="28"/>
  <c r="F56" i="28" s="1"/>
  <c r="G64" i="28"/>
  <c r="F64" i="28" s="1"/>
  <c r="G47" i="28"/>
  <c r="F47" i="28" s="1"/>
  <c r="G57" i="28"/>
  <c r="F57" i="28" s="1"/>
  <c r="G33" i="28"/>
  <c r="F33" i="28" s="1"/>
  <c r="G52" i="28"/>
  <c r="F52" i="28" s="1"/>
  <c r="G50" i="28"/>
  <c r="F50" i="28" s="1"/>
  <c r="G51" i="28"/>
  <c r="F51" i="28" s="1"/>
  <c r="G54" i="28"/>
  <c r="F54" i="28" s="1"/>
  <c r="G19" i="28"/>
  <c r="F19" i="28" s="1"/>
  <c r="G46" i="28"/>
  <c r="F46" i="28" s="1"/>
  <c r="G32" i="28"/>
  <c r="F32" i="28" s="1"/>
  <c r="G34" i="28"/>
  <c r="F34" i="28" s="1"/>
  <c r="G58" i="28"/>
  <c r="F58" i="28" s="1"/>
  <c r="G31" i="28"/>
  <c r="F31" i="28" s="1"/>
  <c r="G39" i="28"/>
  <c r="F39" i="28" s="1"/>
  <c r="G63" i="28"/>
  <c r="F63" i="28" s="1"/>
  <c r="G61" i="28"/>
  <c r="F61" i="28" s="1"/>
  <c r="G62" i="28"/>
  <c r="F62" i="28" s="1"/>
  <c r="G29" i="28"/>
  <c r="F29" i="28" s="1"/>
  <c r="G49" i="28"/>
  <c r="F49" i="28" s="1"/>
  <c r="G48" i="28"/>
  <c r="F48" i="28" s="1"/>
  <c r="G35" i="28"/>
  <c r="F35" i="28" s="1"/>
  <c r="G59" i="28"/>
  <c r="F59" i="28" s="1"/>
  <c r="G30" i="28"/>
  <c r="F30" i="28" s="1"/>
  <c r="G36" i="28"/>
  <c r="F36" i="28" s="1"/>
  <c r="B34" i="30"/>
  <c r="G25" i="28"/>
  <c r="F25" i="28" s="1"/>
  <c r="G21" i="28"/>
  <c r="F21" i="28" s="1"/>
  <c r="G40" i="28"/>
  <c r="F40" i="28" s="1"/>
  <c r="G60" i="28"/>
  <c r="F60" i="28" s="1"/>
  <c r="G38" i="28"/>
  <c r="F38" i="28" s="1"/>
  <c r="G53" i="28"/>
  <c r="F53" i="28" s="1"/>
  <c r="G28" i="28"/>
  <c r="F28" i="28" s="1"/>
  <c r="G44" i="28"/>
  <c r="F44" i="28" s="1"/>
  <c r="B27" i="30"/>
  <c r="G45" i="28"/>
  <c r="F45" i="28" s="1"/>
  <c r="G26" i="28"/>
  <c r="F26" i="28" s="1"/>
  <c r="G24" i="28"/>
  <c r="F24" i="28" s="1"/>
  <c r="G41" i="28"/>
  <c r="F41" i="28" s="1"/>
  <c r="G22" i="28"/>
  <c r="F22" i="28" s="1"/>
  <c r="G43" i="28"/>
  <c r="F43" i="28" s="1"/>
  <c r="G23" i="28"/>
  <c r="F23" i="28" s="1"/>
  <c r="G55" i="28"/>
  <c r="F55" i="28" s="1"/>
  <c r="G20" i="28"/>
  <c r="F20" i="28" s="1"/>
  <c r="G42" i="28"/>
  <c r="F42" i="28" s="1"/>
  <c r="F36" i="29"/>
  <c r="E36" i="29"/>
  <c r="T130" i="4" l="1"/>
  <c r="T120" i="4"/>
  <c r="T136" i="4"/>
  <c r="T122" i="4"/>
  <c r="T121" i="4"/>
  <c r="T135" i="4"/>
  <c r="T126" i="4"/>
  <c r="T119" i="4"/>
  <c r="T123" i="4"/>
  <c r="T145" i="4"/>
  <c r="T143" i="4"/>
  <c r="T134" i="4"/>
  <c r="T132" i="4"/>
  <c r="T118" i="4"/>
  <c r="T129" i="4"/>
  <c r="T131" i="4"/>
  <c r="T138" i="4"/>
  <c r="T137" i="4"/>
  <c r="T140" i="4"/>
  <c r="T127" i="4"/>
  <c r="T125" i="4"/>
  <c r="S112" i="4" s="1" a="1"/>
  <c r="S112" i="4" s="1"/>
  <c r="I18" i="11" s="1"/>
  <c r="T146" i="4"/>
  <c r="T128" i="4"/>
  <c r="T141" i="4"/>
  <c r="T124" i="4"/>
  <c r="T144" i="4"/>
  <c r="T142" i="4"/>
  <c r="T139" i="4"/>
  <c r="T133" i="4"/>
  <c r="U105" i="28"/>
  <c r="U26" i="28"/>
  <c r="U77" i="28"/>
  <c r="U95" i="28"/>
  <c r="U57" i="28"/>
  <c r="U73" i="28"/>
  <c r="U101" i="28"/>
  <c r="U6" i="28"/>
  <c r="U32" i="28"/>
  <c r="U58" i="28"/>
  <c r="U79" i="28"/>
  <c r="U59" i="28"/>
  <c r="U16" i="28"/>
  <c r="U65" i="28"/>
  <c r="U10" i="28"/>
  <c r="U18" i="28"/>
  <c r="U63" i="28"/>
  <c r="U51" i="28"/>
  <c r="U102" i="28"/>
  <c r="U13" i="28"/>
  <c r="U39" i="28"/>
  <c r="U83" i="28"/>
  <c r="U55" i="28"/>
  <c r="U60" i="28"/>
  <c r="U99" i="28"/>
  <c r="U56" i="28"/>
  <c r="U76" i="28"/>
  <c r="U7" i="28"/>
  <c r="U5" i="28"/>
  <c r="U38" i="28"/>
  <c r="U54" i="28"/>
  <c r="U107" i="28"/>
  <c r="U49" i="28"/>
  <c r="U88" i="28"/>
  <c r="U92" i="28"/>
  <c r="U78" i="28"/>
  <c r="U110" i="28"/>
  <c r="U74" i="28"/>
  <c r="U82" i="28"/>
  <c r="U4" i="28"/>
  <c r="U108" i="28"/>
  <c r="U100" i="28"/>
  <c r="U41" i="28"/>
  <c r="U69" i="28"/>
  <c r="U94" i="28"/>
  <c r="U89" i="28"/>
  <c r="U47" i="28"/>
  <c r="U33" i="28"/>
  <c r="U8" i="28"/>
  <c r="U22" i="28"/>
  <c r="U64" i="28"/>
  <c r="U91" i="28"/>
  <c r="U70" i="28"/>
  <c r="U86" i="28"/>
  <c r="U36" i="28"/>
  <c r="U52" i="28"/>
  <c r="U96" i="28"/>
  <c r="U29" i="28"/>
  <c r="U9" i="28"/>
  <c r="U17" i="28"/>
  <c r="U35" i="28"/>
  <c r="U12" i="28"/>
  <c r="U28" i="28"/>
  <c r="U67" i="28"/>
  <c r="U44" i="28"/>
  <c r="U104" i="28"/>
  <c r="U84" i="28"/>
  <c r="U25" i="28"/>
  <c r="U61" i="28"/>
  <c r="U68" i="28"/>
  <c r="U23" i="28"/>
  <c r="U42" i="28"/>
  <c r="U45" i="28"/>
  <c r="U11" i="28"/>
  <c r="U19" i="28"/>
  <c r="U34" i="28"/>
  <c r="U21" i="28"/>
  <c r="U103" i="28"/>
  <c r="U80" i="28"/>
  <c r="U31" i="28"/>
  <c r="U37" i="28"/>
  <c r="U27" i="28"/>
  <c r="U48" i="28"/>
  <c r="U71" i="28"/>
  <c r="U90" i="28"/>
  <c r="U93" i="28"/>
  <c r="U15" i="28"/>
  <c r="U97" i="28"/>
  <c r="U81" i="28"/>
  <c r="U87" i="28"/>
  <c r="U106" i="28"/>
  <c r="U109" i="28"/>
  <c r="U14" i="28"/>
  <c r="U50" i="28"/>
  <c r="U24" i="28"/>
  <c r="U20" i="28"/>
  <c r="U66" i="28"/>
  <c r="U53" i="28"/>
  <c r="U40" i="28"/>
  <c r="U43" i="28"/>
  <c r="U30" i="28"/>
  <c r="U46" i="28"/>
  <c r="U98" i="28"/>
  <c r="U85" i="28"/>
  <c r="U72" i="28"/>
  <c r="U75" i="28"/>
  <c r="S117" i="4"/>
  <c r="T117" i="4" s="1"/>
  <c r="L218" i="4"/>
  <c r="L217" i="4"/>
  <c r="L215" i="4"/>
  <c r="L216" i="4"/>
  <c r="F4" i="28"/>
  <c r="G36" i="29"/>
  <c r="U117" i="4" l="1" a="1"/>
  <c r="U117" i="4" s="1"/>
  <c r="H6" i="29" a="1"/>
  <c r="D8" i="29" s="1"/>
  <c r="S114" i="4"/>
  <c r="J213" i="4"/>
  <c r="D35" i="29" l="1"/>
  <c r="F35" i="29" s="1"/>
  <c r="L213" i="4"/>
  <c r="N210" i="4" s="1"/>
  <c r="D28" i="29"/>
  <c r="E28" i="29" s="1"/>
  <c r="D27" i="29"/>
  <c r="F27" i="29" s="1"/>
  <c r="D33" i="29"/>
  <c r="E33" i="29" s="1"/>
  <c r="D32" i="29"/>
  <c r="E32" i="29" s="1"/>
  <c r="D26" i="29"/>
  <c r="E26" i="29" s="1"/>
  <c r="D24" i="29"/>
  <c r="F24" i="29" s="1"/>
  <c r="D34" i="29"/>
  <c r="E34" i="29" s="1"/>
  <c r="D31" i="29"/>
  <c r="E31" i="29" s="1"/>
  <c r="D30" i="29"/>
  <c r="F30" i="29" s="1"/>
  <c r="D29" i="29"/>
  <c r="E29" i="29" s="1"/>
  <c r="D25" i="29"/>
  <c r="E25" i="29" s="1"/>
  <c r="D23" i="29"/>
  <c r="F23" i="29" s="1"/>
  <c r="D20" i="29"/>
  <c r="E20" i="29" s="1"/>
  <c r="D9" i="29"/>
  <c r="E9" i="29" s="1"/>
  <c r="H6" i="29"/>
  <c r="D302" i="4" s="1"/>
  <c r="E300" i="4" s="1"/>
  <c r="C4" i="11" s="1" a="1"/>
  <c r="C4" i="11" s="1"/>
  <c r="D21" i="29"/>
  <c r="E21" i="29" s="1"/>
  <c r="D14" i="29"/>
  <c r="E14" i="29" s="1"/>
  <c r="D11" i="29"/>
  <c r="F11" i="29" s="1"/>
  <c r="D22" i="29"/>
  <c r="E22" i="29" s="1"/>
  <c r="D12" i="29"/>
  <c r="F12" i="29" s="1"/>
  <c r="D16" i="29"/>
  <c r="E16" i="29" s="1"/>
  <c r="D19" i="29"/>
  <c r="F19" i="29" s="1"/>
  <c r="D17" i="29"/>
  <c r="E17" i="29" s="1"/>
  <c r="D15" i="29"/>
  <c r="F15" i="29" s="1"/>
  <c r="D18" i="29"/>
  <c r="F18" i="29" s="1"/>
  <c r="D6" i="29"/>
  <c r="F6" i="29" s="1"/>
  <c r="D7" i="29"/>
  <c r="F7" i="29" s="1"/>
  <c r="D13" i="29"/>
  <c r="F13" i="29" s="1"/>
  <c r="D10" i="29"/>
  <c r="E10" i="29" s="1"/>
  <c r="E8" i="29"/>
  <c r="F8" i="29"/>
  <c r="E35" i="29" l="1"/>
  <c r="G35" i="29" s="1"/>
  <c r="F33" i="29"/>
  <c r="E27" i="29"/>
  <c r="G27" i="29" s="1"/>
  <c r="F28" i="29"/>
  <c r="E24" i="29"/>
  <c r="G24" i="29" s="1"/>
  <c r="F29" i="29"/>
  <c r="G29" i="29" s="1"/>
  <c r="E30" i="29"/>
  <c r="G30" i="29" s="1"/>
  <c r="F32" i="29"/>
  <c r="G32" i="29" s="1"/>
  <c r="F26" i="29"/>
  <c r="G26" i="29" s="1"/>
  <c r="F31" i="29"/>
  <c r="G31" i="29" s="1"/>
  <c r="F34" i="29"/>
  <c r="G34" i="29" s="1"/>
  <c r="E23" i="29"/>
  <c r="G23" i="29" s="1"/>
  <c r="F22" i="29"/>
  <c r="G22" i="29" s="1"/>
  <c r="F25" i="29"/>
  <c r="G25" i="29" s="1"/>
  <c r="E19" i="29"/>
  <c r="G19" i="29" s="1"/>
  <c r="F20" i="29"/>
  <c r="G20" i="29" s="1"/>
  <c r="F14" i="29"/>
  <c r="G14" i="29" s="1"/>
  <c r="F9" i="29"/>
  <c r="G9" i="29" s="1"/>
  <c r="E12" i="29"/>
  <c r="G12" i="29" s="1"/>
  <c r="E15" i="29"/>
  <c r="G15" i="29" s="1"/>
  <c r="E11" i="29"/>
  <c r="G11" i="29" s="1"/>
  <c r="F21" i="29"/>
  <c r="G21" i="29" s="1"/>
  <c r="F16" i="29"/>
  <c r="G16" i="29" s="1"/>
  <c r="F10" i="29"/>
  <c r="G10" i="29" s="1"/>
  <c r="E18" i="29"/>
  <c r="G18" i="29" s="1"/>
  <c r="E13" i="29"/>
  <c r="G13" i="29" s="1"/>
  <c r="F17" i="29"/>
  <c r="G17" i="29" s="1"/>
  <c r="E6" i="29"/>
  <c r="G6" i="29" s="1"/>
  <c r="E7" i="29"/>
  <c r="G7" i="29" s="1"/>
  <c r="G33" i="29"/>
  <c r="G28" i="29"/>
  <c r="G8" i="29"/>
  <c r="D15" i="30" l="1" a="1"/>
  <c r="B57" i="30" l="1"/>
  <c r="B56" i="30"/>
  <c r="B55" i="30"/>
  <c r="D15" i="30"/>
  <c r="D10" i="30" s="1"/>
  <c r="A50" i="30" a="1"/>
  <c r="B53" i="30" s="1"/>
  <c r="E10" i="30"/>
  <c r="AA10" i="30"/>
  <c r="N10" i="30"/>
  <c r="J10" i="30"/>
  <c r="I10" i="30"/>
  <c r="T10" i="30"/>
  <c r="E3" i="30" s="1" a="1"/>
  <c r="E3" i="30" s="1"/>
  <c r="B40" i="29" s="1"/>
  <c r="L10" i="30"/>
  <c r="E4" i="30" s="1" a="1"/>
  <c r="E4" i="30" s="1"/>
  <c r="AC10" i="30"/>
  <c r="AF10" i="30"/>
  <c r="S10" i="30"/>
  <c r="H10" i="30"/>
  <c r="Q10" i="30"/>
  <c r="P10" i="30"/>
  <c r="O10" i="30"/>
  <c r="M10" i="30"/>
  <c r="W10" i="30"/>
  <c r="AB10" i="30"/>
  <c r="K10" i="30"/>
  <c r="F10" i="30"/>
  <c r="X10" i="30"/>
  <c r="AD10" i="30"/>
  <c r="AE10" i="30"/>
  <c r="U10" i="30"/>
  <c r="R10" i="30"/>
  <c r="G10" i="30"/>
  <c r="V10" i="30"/>
  <c r="Y10" i="30"/>
  <c r="Z10" i="30"/>
  <c r="B54" i="30" l="1"/>
  <c r="B51" i="30"/>
  <c r="B52" i="30"/>
  <c r="A50" i="30"/>
  <c r="B50" i="30" s="1"/>
  <c r="E7" i="30" a="1"/>
  <c r="E7" i="30" s="1"/>
  <c r="E6" i="30" a="1"/>
  <c r="E6" i="30" s="1"/>
  <c r="E5" i="30" a="1"/>
  <c r="E5" i="30" s="1"/>
  <c r="AC6" i="5"/>
  <c r="B49" i="29"/>
  <c r="A52" i="29" s="1"/>
  <c r="B41" i="29" l="1"/>
  <c r="B53" i="29" s="1"/>
  <c r="B49" i="30"/>
  <c r="D259" i="4"/>
  <c r="E259" i="4" s="1"/>
  <c r="AC7" i="5"/>
  <c r="AB88" i="5" s="1"/>
  <c r="H23" i="11" l="1" a="1"/>
  <c r="H23" i="11" s="1"/>
  <c r="A66" i="30" a="1"/>
  <c r="A66" i="30" s="1"/>
  <c r="B52" i="29"/>
  <c r="B51" i="29"/>
  <c r="A60" i="30"/>
  <c r="B60" i="30" s="1"/>
  <c r="D261" i="4"/>
  <c r="AB65" i="5"/>
  <c r="AB34" i="5"/>
  <c r="AB51" i="5"/>
  <c r="AB47" i="5"/>
  <c r="AB40" i="5"/>
  <c r="AB45" i="5"/>
  <c r="AB87" i="5"/>
  <c r="AB57" i="5"/>
  <c r="AB33" i="5"/>
  <c r="AB53" i="5"/>
  <c r="AB14" i="5"/>
  <c r="AB29" i="5"/>
  <c r="AB96" i="5"/>
  <c r="AB41" i="5"/>
  <c r="AB31" i="5"/>
  <c r="AB95" i="5"/>
  <c r="AB97" i="5"/>
  <c r="AB23" i="5"/>
  <c r="AB12" i="5"/>
  <c r="AB100" i="5"/>
  <c r="AB71" i="5"/>
  <c r="AB75" i="5"/>
  <c r="AB90" i="5"/>
  <c r="AB89" i="5"/>
  <c r="AB86" i="5"/>
  <c r="AB81" i="5"/>
  <c r="AB26" i="5"/>
  <c r="AB76" i="5"/>
  <c r="AB18" i="5"/>
  <c r="AB19" i="5"/>
  <c r="AB49" i="5"/>
  <c r="AB73" i="5"/>
  <c r="AB62" i="5"/>
  <c r="AB60" i="5"/>
  <c r="AB67" i="5"/>
  <c r="AB72" i="5"/>
  <c r="AB78" i="5"/>
  <c r="AB42" i="5"/>
  <c r="AB21" i="5"/>
  <c r="AB24" i="5"/>
  <c r="AB11" i="5"/>
  <c r="AB43" i="5"/>
  <c r="AB64" i="5"/>
  <c r="AB39" i="5"/>
  <c r="AB22" i="5"/>
  <c r="AB93" i="5"/>
  <c r="AB37" i="5"/>
  <c r="AB70" i="5"/>
  <c r="AB38" i="5"/>
  <c r="AB99" i="5"/>
  <c r="AB66" i="5"/>
  <c r="AB84" i="5"/>
  <c r="AB98" i="5"/>
  <c r="AB56" i="5"/>
  <c r="AB50" i="5"/>
  <c r="AB92" i="5"/>
  <c r="AB48" i="5"/>
  <c r="AB59" i="5"/>
  <c r="AB17" i="5"/>
  <c r="AB58" i="5"/>
  <c r="AB55" i="5"/>
  <c r="AB28" i="5"/>
  <c r="AB68" i="5"/>
  <c r="AB35" i="5"/>
  <c r="AB69" i="5"/>
  <c r="AB20" i="5"/>
  <c r="AB54" i="5"/>
  <c r="AB52" i="5"/>
  <c r="AB25" i="5"/>
  <c r="AB16" i="5"/>
  <c r="AB61" i="5"/>
  <c r="AB91" i="5"/>
  <c r="AB32" i="5"/>
  <c r="AB36" i="5"/>
  <c r="AB94" i="5"/>
  <c r="AB77" i="5"/>
  <c r="AB30" i="5"/>
  <c r="AB79" i="5"/>
  <c r="AB46" i="5"/>
  <c r="AB15" i="5"/>
  <c r="AB63" i="5"/>
  <c r="AB74" i="5"/>
  <c r="AB27" i="5"/>
  <c r="AB83" i="5"/>
  <c r="AB13" i="5"/>
  <c r="AB85" i="5"/>
  <c r="AB44" i="5"/>
  <c r="AB82" i="5"/>
  <c r="AB80" i="5"/>
  <c r="B54" i="29" l="1" a="1"/>
  <c r="B54" i="29" s="1"/>
  <c r="C63" i="30" a="1"/>
  <c r="C63" i="30" s="1"/>
  <c r="I24" i="11" s="1"/>
  <c r="C64" i="30" a="1"/>
  <c r="C64" i="30" s="1"/>
  <c r="I25" i="11" s="1"/>
  <c r="AE15" i="4"/>
  <c r="AF25" i="4" l="1"/>
  <c r="AF16" i="4"/>
  <c r="AF24" i="4"/>
  <c r="AF23" i="4"/>
  <c r="AF17" i="4"/>
  <c r="AF26" i="4"/>
  <c r="AF22" i="4"/>
  <c r="AF18" i="4"/>
  <c r="AF28" i="4"/>
  <c r="AF27" i="4"/>
  <c r="AF15" i="4"/>
  <c r="AF38" i="4"/>
  <c r="AF29" i="4"/>
  <c r="AF34" i="4"/>
  <c r="AF36" i="4"/>
  <c r="AF19" i="4"/>
  <c r="AF20" i="4"/>
  <c r="AF31" i="4"/>
  <c r="AF35" i="4"/>
  <c r="AF37" i="4"/>
  <c r="AF33" i="4"/>
  <c r="AF21" i="4"/>
  <c r="AF30" i="4"/>
  <c r="AF32" i="4"/>
  <c r="Y16" i="4"/>
  <c r="S7" i="4"/>
  <c r="W5" i="4" s="1" a="1"/>
  <c r="W5" i="4" s="1"/>
  <c r="W16" i="4" l="1"/>
  <c r="AB16" i="4"/>
  <c r="AC15" i="4"/>
  <c r="AC19" i="4"/>
  <c r="AC35" i="4"/>
  <c r="AC36" i="4"/>
  <c r="AC22" i="4"/>
  <c r="AC25" i="4"/>
  <c r="AC28" i="4"/>
  <c r="AC17" i="4"/>
  <c r="AC37" i="4"/>
  <c r="AC20" i="4"/>
  <c r="AC24" i="4"/>
  <c r="AC27" i="4"/>
  <c r="AC31" i="4"/>
  <c r="AC18" i="4"/>
  <c r="AC38" i="4"/>
  <c r="AC23" i="4"/>
  <c r="AC26" i="4"/>
  <c r="AC30" i="4"/>
  <c r="AC21" i="4"/>
  <c r="AC29" i="4"/>
  <c r="AC32" i="4"/>
  <c r="AC33" i="4"/>
  <c r="AC34" i="4"/>
  <c r="AC16" i="4"/>
  <c r="Y17" i="4"/>
  <c r="AD25" i="4" l="1"/>
  <c r="AG25" i="4"/>
  <c r="AD38" i="4"/>
  <c r="AG38" i="4"/>
  <c r="AD20" i="4"/>
  <c r="AG20" i="4"/>
  <c r="AD35" i="4"/>
  <c r="AG35" i="4"/>
  <c r="AG27" i="4"/>
  <c r="AD27" i="4"/>
  <c r="AD33" i="4"/>
  <c r="AG33" i="4"/>
  <c r="AD26" i="4"/>
  <c r="AG26" i="4"/>
  <c r="AD31" i="4"/>
  <c r="AG31" i="4"/>
  <c r="AD37" i="4"/>
  <c r="AG37" i="4"/>
  <c r="W17" i="4"/>
  <c r="AB17" i="4"/>
  <c r="AG34" i="4"/>
  <c r="AD34" i="4"/>
  <c r="AD19" i="4"/>
  <c r="AG19" i="4"/>
  <c r="AG23" i="4"/>
  <c r="AD23" i="4"/>
  <c r="AG28" i="4"/>
  <c r="AD28" i="4"/>
  <c r="AD15" i="4"/>
  <c r="AG15" i="4"/>
  <c r="AG18" i="4"/>
  <c r="AD18" i="4"/>
  <c r="AD24" i="4"/>
  <c r="AG24" i="4"/>
  <c r="AG17" i="4"/>
  <c r="AD17" i="4"/>
  <c r="AD22" i="4"/>
  <c r="AG22" i="4"/>
  <c r="AD36" i="4"/>
  <c r="AG36" i="4"/>
  <c r="AD32" i="4"/>
  <c r="AG32" i="4"/>
  <c r="AD21" i="4"/>
  <c r="AG21" i="4"/>
  <c r="AD16" i="4"/>
  <c r="AG16" i="4"/>
  <c r="AG29" i="4"/>
  <c r="AD29" i="4"/>
  <c r="AD30" i="4"/>
  <c r="AG30" i="4"/>
  <c r="AH38" i="4"/>
  <c r="AH17" i="4"/>
  <c r="AH34" i="4"/>
  <c r="AH31" i="4"/>
  <c r="AH15" i="4"/>
  <c r="AH29" i="4"/>
  <c r="AH27" i="4"/>
  <c r="AH21" i="4"/>
  <c r="AH37" i="4"/>
  <c r="AH32" i="4"/>
  <c r="AH36" i="4"/>
  <c r="AH25" i="4"/>
  <c r="AH26" i="4"/>
  <c r="Y18" i="4"/>
  <c r="AH33" i="4"/>
  <c r="AH23" i="4"/>
  <c r="AH28" i="4"/>
  <c r="AH18" i="4"/>
  <c r="AH24" i="4"/>
  <c r="AH16" i="4"/>
  <c r="AH20" i="4"/>
  <c r="AH22" i="4"/>
  <c r="AH35" i="4"/>
  <c r="AH19" i="4"/>
  <c r="AH30" i="4"/>
  <c r="AI16" i="4" l="1"/>
  <c r="AJ16" i="4" s="1"/>
  <c r="AI25" i="4"/>
  <c r="AI18" i="4"/>
  <c r="AJ18" i="4" s="1"/>
  <c r="AI23" i="4"/>
  <c r="AJ23" i="4" s="1"/>
  <c r="AI24" i="4"/>
  <c r="AJ24" i="4" s="1"/>
  <c r="AI15" i="4"/>
  <c r="AJ15" i="4" s="1"/>
  <c r="AI17" i="4"/>
  <c r="AJ17" i="4" s="1"/>
  <c r="AI32" i="4"/>
  <c r="AJ32" i="4" s="1"/>
  <c r="AI26" i="4"/>
  <c r="AJ26" i="4" s="1"/>
  <c r="AI22" i="4"/>
  <c r="AJ22" i="4" s="1"/>
  <c r="AI27" i="4"/>
  <c r="AJ27" i="4" s="1"/>
  <c r="AI28" i="4"/>
  <c r="AJ28" i="4" s="1"/>
  <c r="AD12" i="4"/>
  <c r="AI19" i="4"/>
  <c r="AJ19" i="4" s="1"/>
  <c r="AI37" i="4"/>
  <c r="AJ37" i="4" s="1"/>
  <c r="AI31" i="4"/>
  <c r="AJ31" i="4" s="1"/>
  <c r="AI34" i="4"/>
  <c r="AJ34" i="4" s="1"/>
  <c r="AI38" i="4"/>
  <c r="AJ38" i="4" s="1"/>
  <c r="AI20" i="4"/>
  <c r="AJ20" i="4" s="1"/>
  <c r="AI35" i="4"/>
  <c r="AJ35" i="4" s="1"/>
  <c r="W18" i="4"/>
  <c r="AB18" i="4"/>
  <c r="AI21" i="4"/>
  <c r="AJ21" i="4" s="1"/>
  <c r="AI29" i="4"/>
  <c r="AJ29" i="4" s="1"/>
  <c r="AI33" i="4"/>
  <c r="AJ33" i="4" s="1"/>
  <c r="AI30" i="4"/>
  <c r="AJ30" i="4" s="1"/>
  <c r="AI36" i="4"/>
  <c r="AJ36" i="4" s="1"/>
  <c r="AJ25" i="4"/>
  <c r="Y19" i="4"/>
  <c r="AB19" i="4" s="1"/>
  <c r="AK17" i="4" l="1"/>
  <c r="AK25" i="4"/>
  <c r="AK18" i="4"/>
  <c r="AK15" i="4"/>
  <c r="AK24" i="4"/>
  <c r="AK23" i="4"/>
  <c r="AK16" i="4"/>
  <c r="AK26" i="4"/>
  <c r="AK27" i="4"/>
  <c r="AK22" i="4"/>
  <c r="AK28" i="4"/>
  <c r="AK34" i="4"/>
  <c r="AK20" i="4"/>
  <c r="AK21" i="4"/>
  <c r="AK33" i="4"/>
  <c r="AK30" i="4"/>
  <c r="AK29" i="4"/>
  <c r="AK36" i="4"/>
  <c r="AK31" i="4"/>
  <c r="AK37" i="4"/>
  <c r="AK32" i="4"/>
  <c r="AK35" i="4"/>
  <c r="AK19" i="4"/>
  <c r="AK38" i="4"/>
  <c r="Y20" i="4"/>
  <c r="W19" i="4"/>
  <c r="AN15" i="4" l="1"/>
  <c r="AN12" i="4" s="1"/>
  <c r="I14" i="11" s="1"/>
  <c r="AB20" i="4"/>
  <c r="Y21" i="4"/>
  <c r="AB21" i="4" s="1"/>
  <c r="AN17" i="4"/>
  <c r="AN19" i="4"/>
  <c r="AN18" i="4"/>
  <c r="AN20" i="4"/>
  <c r="AN16" i="4"/>
  <c r="W20" i="4"/>
  <c r="AN21" i="4" l="1"/>
  <c r="Y22" i="4"/>
  <c r="W21" i="4"/>
  <c r="AB22" i="4" l="1"/>
  <c r="AN22" i="4"/>
  <c r="Y23" i="4"/>
  <c r="W22" i="4"/>
  <c r="AB23" i="4" l="1"/>
  <c r="AN23" i="4"/>
  <c r="Y24" i="4"/>
  <c r="W23" i="4"/>
  <c r="AB24" i="4" l="1"/>
  <c r="AN24" i="4"/>
  <c r="Y25" i="4"/>
  <c r="W24" i="4"/>
  <c r="AB25" i="4" l="1"/>
  <c r="AN25" i="4"/>
  <c r="Y26" i="4"/>
  <c r="W25" i="4"/>
  <c r="AB26" i="4" l="1"/>
  <c r="AN26" i="4"/>
  <c r="Y27" i="4"/>
  <c r="W26" i="4"/>
  <c r="AB27" i="4" l="1"/>
  <c r="AN27" i="4"/>
  <c r="Y28" i="4"/>
  <c r="W27" i="4"/>
  <c r="AB28" i="4" l="1"/>
  <c r="AN28" i="4"/>
  <c r="Y29" i="4"/>
  <c r="W28" i="4"/>
  <c r="AB29" i="4" l="1"/>
  <c r="AN29" i="4"/>
  <c r="Y30" i="4"/>
  <c r="W29" i="4"/>
  <c r="AB30" i="4" l="1"/>
  <c r="AN30" i="4"/>
  <c r="Y31" i="4"/>
  <c r="W30" i="4"/>
  <c r="AB31" i="4" l="1"/>
  <c r="AN31" i="4"/>
  <c r="Y32" i="4"/>
  <c r="W31" i="4"/>
  <c r="AB32" i="4" l="1"/>
  <c r="Y33" i="4"/>
  <c r="AN32" i="4"/>
  <c r="W32" i="4"/>
  <c r="AB33" i="4" l="1"/>
  <c r="AN33" i="4"/>
  <c r="Y34" i="4"/>
  <c r="W33" i="4"/>
  <c r="AB34" i="4" l="1"/>
  <c r="AN34" i="4"/>
  <c r="Y35" i="4"/>
  <c r="W34" i="4"/>
  <c r="AB35" i="4" l="1"/>
  <c r="AN35" i="4"/>
  <c r="Y36" i="4"/>
  <c r="W35" i="4"/>
  <c r="AB36" i="4" l="1"/>
  <c r="AN36" i="4"/>
  <c r="Y37" i="4"/>
  <c r="W36" i="4"/>
  <c r="AB37" i="4" l="1"/>
  <c r="AN37" i="4"/>
  <c r="Y38" i="4"/>
  <c r="W37" i="4"/>
  <c r="AB38" i="4" l="1"/>
  <c r="AN38" i="4"/>
  <c r="W3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Aidan Schofield</author>
  </authors>
  <commentList>
    <comment ref="E10" authorId="0" shapeId="0" xr:uid="{73BA4ABF-F6F1-4A00-8DBE-F34243A85448}">
      <text>
        <r>
          <rPr>
            <sz val="9"/>
            <color indexed="81"/>
            <rFont val="Tahoma"/>
            <family val="2"/>
          </rPr>
          <t>Rollease Acmeda recommends 0.1%.
Increasing the deflection limit may result in undesirable fabric aesthetics.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tc={81A48E23-BE8E-4C9E-8D0E-0171DFA8D3DB}</author>
    <author>Aidan Schofield</author>
  </authors>
  <commentList>
    <comment ref="M116" authorId="0" shapeId="0" xr:uid="{81A48E23-BE8E-4C9E-8D0E-0171DFA8D3DB}">
      <text>
        <t>[Threaded comment]
Your version of Excel allows you to read this threaded comment; however, any edits to it will get removed if the file is opened in a newer version of Excel. Learn more: https://go.microsoft.com/fwlink/?linkid=870924
Comment:
    based on selected tube.</t>
      </text>
    </comment>
    <comment ref="S116" authorId="1" shapeId="0" xr:uid="{FCB5EF30-059D-4283-87CF-4D561160B4CB}">
      <text>
        <r>
          <rPr>
            <b/>
            <sz val="9"/>
            <color indexed="81"/>
            <rFont val="Tahoma"/>
            <family val="2"/>
          </rPr>
          <t>Aidan Schofield:</t>
        </r>
        <r>
          <rPr>
            <sz val="9"/>
            <color indexed="81"/>
            <rFont val="Tahoma"/>
            <family val="2"/>
          </rPr>
          <t xml:space="preserve">
Changed to use torque instead of capacity kg on 16-Apr-22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tc={8A903778-EE7D-460C-BAC5-0FCA80D49543}</author>
    <author>tc={3BE30409-D623-4619-B7E6-DA9B34B6D3A9}</author>
    <author>tc={C1C7158D-4721-4EA8-9DD4-A98E51C10DF2}</author>
  </authors>
  <commentList>
    <comment ref="B7" authorId="0" shapeId="0" xr:uid="{8A903778-EE7D-460C-BAC5-0FCA80D49543}">
      <text>
        <t>[Threaded comment]
Your version of Excel allows you to read this threaded comment; however, any edits to it will get removed if the file is opened in a newer version of Excel. Learn more: https://go.microsoft.com/fwlink/?linkid=870924
Comment:
    Published charts reference option 18 light booster</t>
      </text>
    </comment>
    <comment ref="B8" authorId="1" shapeId="0" xr:uid="{3BE30409-D623-4619-B7E6-DA9B34B6D3A9}">
      <text>
        <t>[Threaded comment]
Your version of Excel allows you to read this threaded comment; however, any edits to it will get removed if the file is opened in a newer version of Excel. Learn more: https://go.microsoft.com/fwlink/?linkid=870924
Comment:
    Published charts use 0.0034</t>
      </text>
    </comment>
    <comment ref="B12" authorId="2" shapeId="0" xr:uid="{C1C7158D-4721-4EA8-9DD4-A98E51C10DF2}">
      <text>
        <t xml:space="preserve">[Threaded comment]
Your version of Excel allows you to read this threaded comment; however, any edits to it will get removed if the file is opened in a newer version of Excel. Learn more: https://go.microsoft.com/fwlink/?linkid=870924
Comment:
    0 = Check for LL
1 = Skip Check for LL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tc={4BF08A9B-C6B5-4FBF-851E-B862FCC108F6}</author>
  </authors>
  <commentList>
    <comment ref="C62" authorId="0" shapeId="0" xr:uid="{4BF08A9B-C6B5-4FBF-851E-B862FCC108F6}">
      <text>
        <t>[Threaded comment]
Your version of Excel allows you to read this threaded comment; however, any edits to it will get removed if the file is opened in a newer version of Excel. Learn more: https://go.microsoft.com/fwlink/?linkid=870924
Comment:
    Returns value corresponding to lowest spring rate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Aidan Schofield</author>
  </authors>
  <commentList>
    <comment ref="C19" authorId="0" shapeId="0" xr:uid="{FEFDB35E-1B9E-49AF-8FB2-0B1E7E5D93B1}">
      <text>
        <r>
          <rPr>
            <b/>
            <sz val="9"/>
            <color indexed="81"/>
            <rFont val="Tahoma"/>
            <family val="2"/>
          </rPr>
          <t xml:space="preserve">not accurate at higher # pre-wraps, not adjusting for increased OD for layers &gt; 1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189FCD-9FEF-4266-A080-9ADC165DECDD}" keepAlive="1" name="Query - RevTable" description="Connection to the 'RevTable' query in the workbook." type="5" refreshedVersion="8" background="1" refreshOnLoad="1" saveData="1">
    <dbPr connection="Provider=Microsoft.Mashup.OleDb.1;Data Source=$Workbook$;Location=RevTable;Extended Properties=&quot;&quot;" command="SELECT * FROM [RevTable]"/>
    <extLst>
      <ext xmlns:x15="http://schemas.microsoft.com/office/spreadsheetml/2010/11/main" uri="{DE250136-89BD-433C-8126-D09CA5730AF9}">
        <x15:connection id="" excludeFromRefreshAl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<sst xmlns="http://schemas.openxmlformats.org/spreadsheetml/2006/main" count="2157" uniqueCount="1163">
  <si>
    <t>m</t>
  </si>
  <si>
    <t>Density</t>
  </si>
  <si>
    <t>Total Mass</t>
  </si>
  <si>
    <t>kg</t>
  </si>
  <si>
    <t>Weight Bar</t>
  </si>
  <si>
    <t>kg/m³</t>
  </si>
  <si>
    <t>Length</t>
  </si>
  <si>
    <t>CSA</t>
  </si>
  <si>
    <t>kg/m</t>
  </si>
  <si>
    <t>Diameter</t>
  </si>
  <si>
    <t>Gear Ratio</t>
  </si>
  <si>
    <t>OD</t>
  </si>
  <si>
    <t>mm</t>
  </si>
  <si>
    <t>2"</t>
  </si>
  <si>
    <t>Nm</t>
  </si>
  <si>
    <t>Friction due to clutch</t>
  </si>
  <si>
    <t>Description</t>
  </si>
  <si>
    <t>Aluminium</t>
  </si>
  <si>
    <t>Material Data</t>
  </si>
  <si>
    <t>GPa</t>
  </si>
  <si>
    <t>Tubes</t>
  </si>
  <si>
    <t>Spools</t>
  </si>
  <si>
    <t>Friction</t>
  </si>
  <si>
    <t>Control</t>
  </si>
  <si>
    <t>RTEA3</t>
  </si>
  <si>
    <t>RTEA4</t>
  </si>
  <si>
    <t>RTEA5</t>
  </si>
  <si>
    <t>I_min</t>
  </si>
  <si>
    <t>Tube OD</t>
  </si>
  <si>
    <t>I_Min</t>
  </si>
  <si>
    <t>Codes</t>
  </si>
  <si>
    <t>mm⁴</t>
  </si>
  <si>
    <t>System</t>
  </si>
  <si>
    <t>1-1/4"</t>
  </si>
  <si>
    <t>1-1/2"</t>
  </si>
  <si>
    <t>EI</t>
  </si>
  <si>
    <t>Rollease - 1-1/4"</t>
  </si>
  <si>
    <t>Rollease - 1-1/2"</t>
  </si>
  <si>
    <t>Rollease - 2"</t>
  </si>
  <si>
    <t>Holding Capacity</t>
  </si>
  <si>
    <t>(mm)</t>
  </si>
  <si>
    <t>(Nm)</t>
  </si>
  <si>
    <t>(mm²)</t>
  </si>
  <si>
    <t>(Nm²)</t>
  </si>
  <si>
    <t>(mm⁴)</t>
  </si>
  <si>
    <t>Mass/m</t>
  </si>
  <si>
    <t>Fabric Density</t>
  </si>
  <si>
    <t>Fabric Thickness</t>
  </si>
  <si>
    <t xml:space="preserve">Diameter </t>
  </si>
  <si>
    <t>Live Data</t>
  </si>
  <si>
    <t>Top Tube # Rotations</t>
  </si>
  <si>
    <t>Material</t>
  </si>
  <si>
    <t>Young's Modulus</t>
  </si>
  <si>
    <t>Easy Spring Ultra - STD</t>
  </si>
  <si>
    <t>Spring Rate</t>
  </si>
  <si>
    <t>(Nm/Turn)</t>
  </si>
  <si>
    <t>Max Turns</t>
  </si>
  <si>
    <t>T_Max</t>
  </si>
  <si>
    <t>Easy Spring Ultra - Light</t>
  </si>
  <si>
    <t>RB12-4501-LITE</t>
  </si>
  <si>
    <t>RB12-4501-STD</t>
  </si>
  <si>
    <t>RB12-4501-SHORT</t>
  </si>
  <si>
    <t>Easy Spring Ultra - Short</t>
  </si>
  <si>
    <t>RB12-4501-HD</t>
  </si>
  <si>
    <t>Easy Spring Ultra - HD</t>
  </si>
  <si>
    <t>**Clutch friction added here</t>
  </si>
  <si>
    <t>increment steps</t>
  </si>
  <si>
    <t>Boosters</t>
  </si>
  <si>
    <t>User Effort
LIFTING
(kg)</t>
  </si>
  <si>
    <t>User Effort
LOWERING
(kg)</t>
  </si>
  <si>
    <t>Load 
(N)</t>
  </si>
  <si>
    <t>Unit Mass</t>
  </si>
  <si>
    <t>Ratio</t>
  </si>
  <si>
    <t>No Booster</t>
  </si>
  <si>
    <t>Tube Deflection Limit</t>
  </si>
  <si>
    <t>IE</t>
  </si>
  <si>
    <t>Nm²</t>
  </si>
  <si>
    <t>mm/m</t>
  </si>
  <si>
    <t>Drop
(m)</t>
  </si>
  <si>
    <t>Booster</t>
  </si>
  <si>
    <t>Active Diameter
(mm)</t>
  </si>
  <si>
    <t>Active Radius
(mm)</t>
  </si>
  <si>
    <t>top preturns</t>
  </si>
  <si>
    <t>Tube Outputs</t>
  </si>
  <si>
    <t>Deflection</t>
  </si>
  <si>
    <t>Span/Def.</t>
  </si>
  <si>
    <t>RTEA6</t>
  </si>
  <si>
    <t>RB91-0260</t>
  </si>
  <si>
    <t>R16</t>
  </si>
  <si>
    <t>Control Torque Required
(Nm)</t>
  </si>
  <si>
    <t>S45 | HD</t>
  </si>
  <si>
    <t>Ballast</t>
  </si>
  <si>
    <t>Turns</t>
  </si>
  <si>
    <t>Control Torque Required @ Ratio
(Nm)</t>
  </si>
  <si>
    <t>Booster Torque (Nm)</t>
  </si>
  <si>
    <t>Tube/Spool Torque Required 
(Nm)</t>
  </si>
  <si>
    <t>w/ Booster</t>
  </si>
  <si>
    <t>FZ47 Z-Lock Bottom Rail</t>
  </si>
  <si>
    <t>F52 Std External Weight Bar</t>
  </si>
  <si>
    <t>F52 HD External Weight Bar</t>
  </si>
  <si>
    <t>HD HEM Bar</t>
  </si>
  <si>
    <t>FD42 Extreme Weight Bar</t>
  </si>
  <si>
    <t>S60 | 60 STD</t>
  </si>
  <si>
    <t>S60 | 80 HD</t>
  </si>
  <si>
    <t>RB91-0280</t>
  </si>
  <si>
    <t>RB93-0443</t>
  </si>
  <si>
    <t>RB93-0444</t>
  </si>
  <si>
    <t>RB93-0449</t>
  </si>
  <si>
    <t>S45 | STD</t>
  </si>
  <si>
    <t>S45 | LIGHT</t>
  </si>
  <si>
    <t>RB10-6040-xxx011/2</t>
  </si>
  <si>
    <t>Light RB10 Retro-Fit Booster | S60</t>
  </si>
  <si>
    <t>RB10-6040-xxx031/2</t>
  </si>
  <si>
    <t>RB10-6040-xxx041/2</t>
  </si>
  <si>
    <t>Max Roll Diameter</t>
  </si>
  <si>
    <t>Brackets</t>
  </si>
  <si>
    <t>Pitch</t>
  </si>
  <si>
    <t>Standard Easy-Lift Retro-Fit Booster | S45</t>
  </si>
  <si>
    <t>Heavy Duty Easy-Lift Retro-Fit Booster | S45</t>
  </si>
  <si>
    <t>RB04-4391-xxx001/2</t>
  </si>
  <si>
    <t>RB04-4392-xxx001/2</t>
  </si>
  <si>
    <t>Yes</t>
  </si>
  <si>
    <t>No</t>
  </si>
  <si>
    <t>R24</t>
  </si>
  <si>
    <t>RTEA7</t>
  </si>
  <si>
    <t>S100 | 110 STD</t>
  </si>
  <si>
    <t>S100 | 130 HD</t>
  </si>
  <si>
    <t>RB93-0110</t>
  </si>
  <si>
    <t>RB93-0130</t>
  </si>
  <si>
    <t>RB93-0160</t>
  </si>
  <si>
    <t>Friction - Clutch</t>
  </si>
  <si>
    <t>material coeff</t>
  </si>
  <si>
    <t>convert to Torque (Nm)</t>
  </si>
  <si>
    <t>F_u (N)</t>
  </si>
  <si>
    <t>friction 1 = on, 0 = off</t>
  </si>
  <si>
    <t>assume 1x or 2x</t>
  </si>
  <si>
    <t>2 = control and pin end</t>
  </si>
  <si>
    <t>Clutch diameter</t>
  </si>
  <si>
    <t>GENERAL LIMITS</t>
  </si>
  <si>
    <t>S35 STD</t>
  </si>
  <si>
    <t>S35 HD</t>
  </si>
  <si>
    <t>S40 STD</t>
  </si>
  <si>
    <t>S40 HD</t>
  </si>
  <si>
    <t>RB93-0333</t>
  </si>
  <si>
    <t>RB93-0335</t>
  </si>
  <si>
    <t>RB93-0440</t>
  </si>
  <si>
    <t>RTEA1</t>
  </si>
  <si>
    <t>RTEA2</t>
  </si>
  <si>
    <t>R3</t>
  </si>
  <si>
    <t>R8</t>
  </si>
  <si>
    <t>RB04-3512-xxx100</t>
  </si>
  <si>
    <t>Easy-Lift Retro-Fit Spring Assist | S35</t>
  </si>
  <si>
    <t>RB04-4091-xxx001/2</t>
  </si>
  <si>
    <t>Standard Easy-Lift Retrofit Booster | S40</t>
  </si>
  <si>
    <t>RB04-4092-xxx001/2</t>
  </si>
  <si>
    <t>Heavy Duty Easy-Lift Retrofit Booster | S40</t>
  </si>
  <si>
    <t>Capacity</t>
  </si>
  <si>
    <t>REFERENCE DATA</t>
  </si>
  <si>
    <t>T_Max (no booster)</t>
  </si>
  <si>
    <t>RE01-0378</t>
  </si>
  <si>
    <t>m²</t>
  </si>
  <si>
    <t>RE01-0379</t>
  </si>
  <si>
    <t>BoosterCount</t>
  </si>
  <si>
    <t>AW92-0901</t>
  </si>
  <si>
    <t>Steel</t>
  </si>
  <si>
    <t>Tube 1</t>
  </si>
  <si>
    <t>Tube 2</t>
  </si>
  <si>
    <t>Tube Deflection Limit 2</t>
  </si>
  <si>
    <t>Nm/Turn</t>
  </si>
  <si>
    <t>T_min (0 drop)</t>
  </si>
  <si>
    <t># Preturns Recommended (AS)</t>
  </si>
  <si>
    <t>Target Spring Rate (AG Calc)</t>
  </si>
  <si>
    <t>Max Area</t>
  </si>
  <si>
    <t>RE01-0363</t>
  </si>
  <si>
    <t>Tube 3</t>
  </si>
  <si>
    <t># Preturns Recommended (AG)</t>
  </si>
  <si>
    <t>F56 HD External Weight Bar + 1x 0.8kg/m Ballast</t>
  </si>
  <si>
    <t>F72 HD External Weight Bar + 1x 0.8kg/m Ballast</t>
  </si>
  <si>
    <t>F72 HD External Weight Bar + 2x 1.6kg/m Ballast</t>
  </si>
  <si>
    <t>F72 HD External Weight Bar + 1x 1.6kg/m Ballast</t>
  </si>
  <si>
    <t>Control 2</t>
  </si>
  <si>
    <t>Clutch</t>
  </si>
  <si>
    <t>Motor</t>
  </si>
  <si>
    <t>Control Type</t>
  </si>
  <si>
    <t>MaxLength</t>
  </si>
  <si>
    <t>Max Length</t>
  </si>
  <si>
    <t>Control_D</t>
  </si>
  <si>
    <t>User Effort (Lifting)</t>
  </si>
  <si>
    <t>User Effort (Lowering)</t>
  </si>
  <si>
    <t>Conversion factors:</t>
  </si>
  <si>
    <t>1 lb =</t>
  </si>
  <si>
    <t>1 kg=</t>
  </si>
  <si>
    <t>lb</t>
  </si>
  <si>
    <t>1 m=</t>
  </si>
  <si>
    <t>yd</t>
  </si>
  <si>
    <t>1 yd=</t>
  </si>
  <si>
    <t>1 inch</t>
  </si>
  <si>
    <t>1mm</t>
  </si>
  <si>
    <t>inch</t>
  </si>
  <si>
    <t>inches</t>
  </si>
  <si>
    <t>1 oz, ounce=</t>
  </si>
  <si>
    <t>g</t>
  </si>
  <si>
    <t>1 g</t>
  </si>
  <si>
    <t>oz</t>
  </si>
  <si>
    <t>lb/yd -&gt; kg/m =</t>
  </si>
  <si>
    <t>oz/yd² -&gt; g/m²=</t>
  </si>
  <si>
    <t>1 lb/ft</t>
  </si>
  <si>
    <t>g/m</t>
  </si>
  <si>
    <t>1 g/m</t>
  </si>
  <si>
    <t>lb/ft</t>
  </si>
  <si>
    <t>1 GPa</t>
  </si>
  <si>
    <t>psi</t>
  </si>
  <si>
    <t>inch ⁴</t>
  </si>
  <si>
    <t>cm⁴</t>
  </si>
  <si>
    <t>1 lbf·ft=</t>
  </si>
  <si>
    <t>1 in·lbf=</t>
  </si>
  <si>
    <t>Booster Charts Safety Factor</t>
  </si>
  <si>
    <t>Units</t>
  </si>
  <si>
    <t>Language</t>
  </si>
  <si>
    <t>Metric</t>
  </si>
  <si>
    <t>Imperial</t>
  </si>
  <si>
    <t>English</t>
  </si>
  <si>
    <t>L_Units</t>
  </si>
  <si>
    <t>L_Language</t>
  </si>
  <si>
    <t>YesNo</t>
  </si>
  <si>
    <t>T_Controls</t>
  </si>
  <si>
    <t>Thickness (mm)</t>
  </si>
  <si>
    <t>Select Tube</t>
  </si>
  <si>
    <t>in</t>
  </si>
  <si>
    <t>lb·ft</t>
  </si>
  <si>
    <t>g/m²</t>
  </si>
  <si>
    <t>oz/yd²</t>
  </si>
  <si>
    <t>Factor</t>
  </si>
  <si>
    <t>Index</t>
  </si>
  <si>
    <t>Design Width (Converted)</t>
  </si>
  <si>
    <t>Design Drop (Converted)</t>
  </si>
  <si>
    <t>HIDE</t>
  </si>
  <si>
    <t>Thickness_Imperial</t>
  </si>
  <si>
    <t>Thickness_Metric</t>
  </si>
  <si>
    <t>Thickness (in)</t>
  </si>
  <si>
    <t>Density (oz/yd²)</t>
  </si>
  <si>
    <t>Density (gsm)</t>
  </si>
  <si>
    <t>Density_Imperial</t>
  </si>
  <si>
    <t>Density_Metric</t>
  </si>
  <si>
    <t>Internal</t>
  </si>
  <si>
    <t>Region</t>
  </si>
  <si>
    <t>Select Weight Bar</t>
  </si>
  <si>
    <t>Fabric Length</t>
  </si>
  <si>
    <t>Fabric + Weight Bar Mass</t>
  </si>
  <si>
    <t>Weight Bar Unit Mass</t>
  </si>
  <si>
    <t>Fabric + Weight Bar + Tube Mass</t>
  </si>
  <si>
    <t>Select Control</t>
  </si>
  <si>
    <t>RPM</t>
  </si>
  <si>
    <t>Motor RPM</t>
  </si>
  <si>
    <t>user effort difference</t>
  </si>
  <si>
    <t>TABLE SETUP</t>
  </si>
  <si>
    <t>Width Start</t>
  </si>
  <si>
    <t>Width Increment</t>
  </si>
  <si>
    <t>Drop Start</t>
  </si>
  <si>
    <t>Drop Increment</t>
  </si>
  <si>
    <t>DROP</t>
  </si>
  <si>
    <t>Motor Run Time (s)</t>
  </si>
  <si>
    <t>Tube Deflection Limit 3</t>
  </si>
  <si>
    <t>Tube</t>
  </si>
  <si>
    <t>Select Control Type</t>
  </si>
  <si>
    <t>AU</t>
  </si>
  <si>
    <t>US</t>
  </si>
  <si>
    <t>TUBE RANK</t>
  </si>
  <si>
    <t>Recommended Tube</t>
  </si>
  <si>
    <t>Select Ballast</t>
  </si>
  <si>
    <t>Column1</t>
  </si>
  <si>
    <t>No Ballast</t>
  </si>
  <si>
    <t>Capacity (kg)</t>
  </si>
  <si>
    <t>CONTROL LIST</t>
  </si>
  <si>
    <t>User Effort</t>
  </si>
  <si>
    <t>User Effort2</t>
  </si>
  <si>
    <t>Category</t>
  </si>
  <si>
    <t>Output</t>
  </si>
  <si>
    <t>Fabric Search</t>
  </si>
  <si>
    <t>Select Fabric</t>
  </si>
  <si>
    <t>CONTROL vs. TUBE COMPATIBILITY</t>
  </si>
  <si>
    <t>TOTAL</t>
  </si>
  <si>
    <t>holding OK?</t>
  </si>
  <si>
    <t>List Length</t>
  </si>
  <si>
    <t>based on fabric, weight bar, tube (ignore deflection), control selection</t>
  </si>
  <si>
    <t>show base clutch capacity with &amp; without a selected retrofit booster?</t>
  </si>
  <si>
    <t>Búsqueda de telas</t>
  </si>
  <si>
    <t>Seleccionar tela</t>
  </si>
  <si>
    <t>Densidad de la tela</t>
  </si>
  <si>
    <t>Espesor de la tela</t>
  </si>
  <si>
    <t>z_FabricSearch</t>
  </si>
  <si>
    <t>z_SelectFabric</t>
  </si>
  <si>
    <t>z_FabricDensity</t>
  </si>
  <si>
    <t>z_FabricThickness</t>
  </si>
  <si>
    <t xml:space="preserve">RBGAL </t>
  </si>
  <si>
    <t>Cassette 80</t>
  </si>
  <si>
    <t>Cassette 100</t>
  </si>
  <si>
    <t>Cassette 120</t>
  </si>
  <si>
    <t>3" Fascia</t>
  </si>
  <si>
    <t>4" Fascia</t>
  </si>
  <si>
    <t>P95</t>
  </si>
  <si>
    <t>CF90</t>
  </si>
  <si>
    <t>SLxx650xx</t>
  </si>
  <si>
    <t>RB08-8345</t>
  </si>
  <si>
    <t>SLxx660xx</t>
  </si>
  <si>
    <t>SLxx680xx</t>
  </si>
  <si>
    <t>SLxx690xx</t>
  </si>
  <si>
    <t>R-Series</t>
  </si>
  <si>
    <t>Skyline</t>
  </si>
  <si>
    <t>Bracket</t>
  </si>
  <si>
    <t>Adaptor Code</t>
  </si>
  <si>
    <t>#</t>
  </si>
  <si>
    <t>RA2</t>
  </si>
  <si>
    <t>RA25</t>
  </si>
  <si>
    <t>SLA03</t>
  </si>
  <si>
    <t>SLA40</t>
  </si>
  <si>
    <t>SLA43</t>
  </si>
  <si>
    <t>SLA53</t>
  </si>
  <si>
    <t>RB10-6000</t>
  </si>
  <si>
    <t>ID</t>
  </si>
  <si>
    <t>Cassette</t>
  </si>
  <si>
    <t>RB56-732x</t>
  </si>
  <si>
    <t>RB80-1201</t>
  </si>
  <si>
    <t>RB80-0478</t>
  </si>
  <si>
    <t>Adaptor?</t>
  </si>
  <si>
    <t>No Adaptor Required</t>
  </si>
  <si>
    <t>Flat Bottom Rail</t>
  </si>
  <si>
    <t>Oval Bottom Rail</t>
  </si>
  <si>
    <t>Round Bottom Rail</t>
  </si>
  <si>
    <t>Internal Hem Bar</t>
  </si>
  <si>
    <t xml:space="preserve">Clutch Compatibility -&gt; </t>
  </si>
  <si>
    <t>R24 has a spring assist</t>
  </si>
  <si>
    <t>G200</t>
  </si>
  <si>
    <t>G400</t>
  </si>
  <si>
    <t>Spring Assist 36"</t>
  </si>
  <si>
    <t>Spring Assist 45"</t>
  </si>
  <si>
    <t>Compat on/off</t>
  </si>
  <si>
    <t>Booster LIST</t>
  </si>
  <si>
    <t>Capacity w/ Booster</t>
  </si>
  <si>
    <t>Roll Diameter Check</t>
  </si>
  <si>
    <t>Column2</t>
  </si>
  <si>
    <t>Clutch Check</t>
  </si>
  <si>
    <t>BRACKET LIST</t>
  </si>
  <si>
    <t>list length</t>
  </si>
  <si>
    <t>z_Title</t>
  </si>
  <si>
    <t>Tube Adaptor</t>
  </si>
  <si>
    <t>COUNT</t>
  </si>
  <si>
    <t>OUTPUT LIST</t>
  </si>
  <si>
    <t>Select Booster</t>
  </si>
  <si>
    <t>Count</t>
  </si>
  <si>
    <t>o_RollDiameter</t>
  </si>
  <si>
    <t>Booster help MAX kg</t>
  </si>
  <si>
    <t>Heavy Duty RB10 Retro-Fit Booster | S60</t>
  </si>
  <si>
    <t>Standard RB10 Retro-Fit Booster | S60</t>
  </si>
  <si>
    <t>Capacity (units)</t>
  </si>
  <si>
    <t>o_Fabric + Weight Bar Mass</t>
  </si>
  <si>
    <t>o_Fabric + Weight Bar + Tube Mass</t>
  </si>
  <si>
    <t>o_Fabric mass per metre of drop</t>
  </si>
  <si>
    <t>o_weight bar mass per metre of width</t>
  </si>
  <si>
    <t>Max Roll Diameter Units</t>
  </si>
  <si>
    <t>OUTPUTS</t>
  </si>
  <si>
    <t>z_inputWidth</t>
  </si>
  <si>
    <t>z_inputDrop</t>
  </si>
  <si>
    <t>z_selectBallast</t>
  </si>
  <si>
    <t>z_selectTube</t>
  </si>
  <si>
    <t>z_selectControl</t>
  </si>
  <si>
    <t>z_rollDiameter</t>
  </si>
  <si>
    <t>z_selectwb</t>
  </si>
  <si>
    <t>z_RecTube</t>
  </si>
  <si>
    <t>z_SelectControlType</t>
  </si>
  <si>
    <t>z_selectBracket</t>
  </si>
  <si>
    <t>NamedRange</t>
  </si>
  <si>
    <t>z_TubeAdaptor</t>
  </si>
  <si>
    <t>z_TubeRotations</t>
  </si>
  <si>
    <t>z_TubeDeflection</t>
  </si>
  <si>
    <t>z_ControlCapacity</t>
  </si>
  <si>
    <t>z_Units</t>
  </si>
  <si>
    <t>z_Language</t>
  </si>
  <si>
    <t>z_Region</t>
  </si>
  <si>
    <t>z_MotorRPM</t>
  </si>
  <si>
    <t>z_SelectBooster</t>
  </si>
  <si>
    <t>z_boosterPreturns</t>
  </si>
  <si>
    <t>z_wbunitmass</t>
  </si>
  <si>
    <t>z_fabricwbmass</t>
  </si>
  <si>
    <t>z_fabricwbtubemass</t>
  </si>
  <si>
    <t>z_CassetteRollDia</t>
  </si>
  <si>
    <t>z_MotorDropS</t>
  </si>
  <si>
    <t>F56 HD Weight Bar</t>
  </si>
  <si>
    <t>F72 HD Weight Bar</t>
  </si>
  <si>
    <t>z_lastUpdate</t>
  </si>
  <si>
    <t>z_Outputs</t>
  </si>
  <si>
    <t>T = w * friction coeff (nm.s/rad)</t>
  </si>
  <si>
    <t xml:space="preserve">0.5 m/s cord movement. </t>
  </si>
  <si>
    <t>RB08 | S35</t>
  </si>
  <si>
    <t>Control Holding Capacity</t>
  </si>
  <si>
    <t>o_TubeDeflectionLimit_Units</t>
  </si>
  <si>
    <t>o_BracketActualRoll_mm</t>
  </si>
  <si>
    <t>o_CassetteActualRoll_mm</t>
  </si>
  <si>
    <t>RB380 | 2"</t>
  </si>
  <si>
    <t>RB390 | 2-7/8"</t>
  </si>
  <si>
    <t>RB360 | 1-1/2""</t>
  </si>
  <si>
    <t>RB560 | 1-1/2"</t>
  </si>
  <si>
    <t>RB580 | 2"</t>
  </si>
  <si>
    <t>RB590 | 2-7/8"</t>
  </si>
  <si>
    <t>5" Fascia - Single Roll</t>
  </si>
  <si>
    <t>5" Fascia - Double Roll</t>
  </si>
  <si>
    <t>INPUTS</t>
  </si>
  <si>
    <t>z_Inputs</t>
  </si>
  <si>
    <t>Development</t>
  </si>
  <si>
    <t>Release</t>
  </si>
  <si>
    <t>ft</t>
  </si>
  <si>
    <t>Release - FFA</t>
  </si>
  <si>
    <t>L_SheetStatus</t>
  </si>
  <si>
    <t>Double Bracket | S60</t>
  </si>
  <si>
    <t>z_UserEffortLift</t>
  </si>
  <si>
    <t>z_UserEffortLowering</t>
  </si>
  <si>
    <t>z_ChainLength</t>
  </si>
  <si>
    <t>z_ChainLoopLength</t>
  </si>
  <si>
    <t>z_MaxBoosterPreturns</t>
  </si>
  <si>
    <t>RR</t>
  </si>
  <si>
    <t>Global</t>
  </si>
  <si>
    <t>Motor Run Time for Drop</t>
  </si>
  <si>
    <t>z_seconds</t>
  </si>
  <si>
    <t>segundos</t>
  </si>
  <si>
    <t>z_Turns</t>
  </si>
  <si>
    <t>seconds</t>
  </si>
  <si>
    <t>turns</t>
  </si>
  <si>
    <t>#Custom Entry</t>
  </si>
  <si>
    <t>ShowHide</t>
  </si>
  <si>
    <t>Show</t>
  </si>
  <si>
    <t>Hide</t>
  </si>
  <si>
    <t>possible to highlight/clarify WHY an option isnt listed / why its removeD?</t>
  </si>
  <si>
    <t>on/off</t>
  </si>
  <si>
    <t>Select a Control.</t>
  </si>
  <si>
    <t>z_Clutch</t>
  </si>
  <si>
    <t>z_Motor</t>
  </si>
  <si>
    <t>z_SelectaControl</t>
  </si>
  <si>
    <t>z_CustomEntry</t>
  </si>
  <si>
    <t>z_Metric</t>
  </si>
  <si>
    <t>z_Imperial</t>
  </si>
  <si>
    <t>z_Yes</t>
  </si>
  <si>
    <t>z_No</t>
  </si>
  <si>
    <t>Fabric can be railroaded.</t>
  </si>
  <si>
    <t>Higher tube rotations will increase likelihood of tracking. 
Less than 20 rotations is recommended.</t>
  </si>
  <si>
    <t>Fabric</t>
  </si>
  <si>
    <t>Thickness</t>
  </si>
  <si>
    <t>z_Density</t>
  </si>
  <si>
    <t>z_Thickness</t>
  </si>
  <si>
    <t>z_Fabric</t>
  </si>
  <si>
    <t>WIDTH</t>
  </si>
  <si>
    <t>z_Drop</t>
  </si>
  <si>
    <t>z_Width</t>
  </si>
  <si>
    <t># Tube Rotations</t>
  </si>
  <si>
    <t>z_Tube</t>
  </si>
  <si>
    <t>z_Ballast</t>
  </si>
  <si>
    <t>z_Control</t>
  </si>
  <si>
    <t>`</t>
  </si>
  <si>
    <t>o_TubeDeflectionPct</t>
  </si>
  <si>
    <t>LookupRevision</t>
  </si>
  <si>
    <t>CurrentRevision</t>
  </si>
  <si>
    <t>System OnOff</t>
  </si>
  <si>
    <t>Region OnOff</t>
  </si>
  <si>
    <t>Control OnOff</t>
  </si>
  <si>
    <t>Type OnOff</t>
  </si>
  <si>
    <t>Tube OnOff</t>
  </si>
  <si>
    <t>Motor RPM_Default</t>
  </si>
  <si>
    <t>Type text here to filter fabric dropdown list.</t>
  </si>
  <si>
    <t>Custom Fabric Density</t>
  </si>
  <si>
    <t>Custom Fabric Thickness</t>
  </si>
  <si>
    <t>Refer Catalogue</t>
  </si>
  <si>
    <t>z_ReferCatalogue</t>
  </si>
  <si>
    <t>Español</t>
  </si>
  <si>
    <t>Français</t>
  </si>
  <si>
    <t>z_Show</t>
  </si>
  <si>
    <t>z_Hide</t>
  </si>
  <si>
    <t>z_Global</t>
  </si>
  <si>
    <t>spanishshow</t>
  </si>
  <si>
    <t>spanishhide</t>
  </si>
  <si>
    <t>Weight Bar + Ballast Total Weight</t>
  </si>
  <si>
    <t>z_wbBallastWeight</t>
  </si>
  <si>
    <t>z_ProductOptionsText1</t>
  </si>
  <si>
    <t>z_EnterValue</t>
  </si>
  <si>
    <t>i_units_Out</t>
  </si>
  <si>
    <t>Métrico</t>
  </si>
  <si>
    <t>English Outputs for formulas</t>
  </si>
  <si>
    <t>spanish custom entry</t>
  </si>
  <si>
    <t>Select Top Hardware System</t>
  </si>
  <si>
    <t>SLxx650xx Skyline Bracket | 32mm | 1-1/4"</t>
  </si>
  <si>
    <t>SLxx660xx Skyline Bracket | 38mm | 1-1/2"</t>
  </si>
  <si>
    <t>SLxx680xx Skyline Bracket | 50mm | 2"</t>
  </si>
  <si>
    <t>SLxx690xx Skyline Bracket | 73mm | 2-1/2"</t>
  </si>
  <si>
    <t>60mm Bracket | S60</t>
  </si>
  <si>
    <t>80mm Bracket | S60</t>
  </si>
  <si>
    <t>Skyline Bracket | Double Universal | 38mm</t>
  </si>
  <si>
    <t>Skyline Bracket | Double Universal | 48mm</t>
  </si>
  <si>
    <t>Skyline Bracket | Double Vertical or Horizontal</t>
  </si>
  <si>
    <t>Roll Diameter required of top hardware</t>
  </si>
  <si>
    <t>Fabric Roll Diameter</t>
  </si>
  <si>
    <t>Roll Width (in)</t>
  </si>
  <si>
    <t>Roll Width (mm)</t>
  </si>
  <si>
    <t>-</t>
  </si>
  <si>
    <t>SpanishMotor</t>
  </si>
  <si>
    <t>SpanishClutch</t>
  </si>
  <si>
    <t>z_NoteFabric</t>
  </si>
  <si>
    <t>Select from dropdown list.</t>
  </si>
  <si>
    <t>z_NoteSelect</t>
  </si>
  <si>
    <t>RollWidth_Imperial</t>
  </si>
  <si>
    <t>RollWidth_Metric</t>
  </si>
  <si>
    <t>tube on/off here</t>
  </si>
  <si>
    <t xml:space="preserve">Data bar indicates shade weight compared to maximum capacity. </t>
  </si>
  <si>
    <t xml:space="preserve">Data bar indicates current deflection compared to maximum allowable. </t>
  </si>
  <si>
    <t>Width input (m)</t>
  </si>
  <si>
    <t>includes width vs tube length check</t>
  </si>
  <si>
    <t>FABRIC NOTES</t>
  </si>
  <si>
    <t>z_FabricNotes</t>
  </si>
  <si>
    <t>Fabric cannot be railroaded.</t>
  </si>
  <si>
    <t>z_Fabric_RR_Yes</t>
  </si>
  <si>
    <t>z_Fabric_RR_No</t>
  </si>
  <si>
    <t>Railroad</t>
  </si>
  <si>
    <t>o_fabricWidth</t>
  </si>
  <si>
    <t>z_FabricWidth</t>
  </si>
  <si>
    <t>Fabric roll width</t>
  </si>
  <si>
    <t>No Data.</t>
  </si>
  <si>
    <t>z_NoData</t>
  </si>
  <si>
    <t>LX Bracket 30mm | S35</t>
  </si>
  <si>
    <t>FRS100</t>
  </si>
  <si>
    <t>FRS120</t>
  </si>
  <si>
    <t>RE01-1105</t>
  </si>
  <si>
    <t># options</t>
  </si>
  <si>
    <t>Custom Weight</t>
  </si>
  <si>
    <t>Enter value</t>
  </si>
  <si>
    <t>Weight Bar LIST</t>
  </si>
  <si>
    <t>z_CustomWeight</t>
  </si>
  <si>
    <t>z_NoOptions</t>
  </si>
  <si>
    <t>None</t>
  </si>
  <si>
    <t>z_None</t>
  </si>
  <si>
    <t>z_AvgFabric</t>
  </si>
  <si>
    <t>20mm x 5mm Flat Bar (x2)</t>
  </si>
  <si>
    <t>25mm x 8mm Flat Bar (x2)</t>
  </si>
  <si>
    <t>All</t>
  </si>
  <si>
    <t>z_CustomFabDensity</t>
  </si>
  <si>
    <t>z_CustomFabThickness</t>
  </si>
  <si>
    <t>no options french</t>
  </si>
  <si>
    <t>RB08-83xx | RB09-83xx</t>
  </si>
  <si>
    <t>Slimline-X Double Easy-Lock Bracket | S40/S45</t>
  </si>
  <si>
    <t>Square-X Double Easy-Lock Bracket | S40/S45</t>
  </si>
  <si>
    <t>RB0x-8380-xxx115</t>
  </si>
  <si>
    <t>RB0x-8384-xxx122</t>
  </si>
  <si>
    <t>RB10 | S60</t>
  </si>
  <si>
    <t>RB09 | S45</t>
  </si>
  <si>
    <t>RB08 | S40 &amp; S45</t>
  </si>
  <si>
    <t>z_WeightBar</t>
  </si>
  <si>
    <t>kg/m²</t>
  </si>
  <si>
    <t>Slim Profile Double Bracket | S40/S45</t>
  </si>
  <si>
    <t>Control Capacity with spring assist (if selected)</t>
  </si>
  <si>
    <t>z_motorRunTimes</t>
  </si>
  <si>
    <t>Automate | 1.1 Nm | 20 rpm</t>
  </si>
  <si>
    <t>Automate | 2 Nm | 20 rpm</t>
  </si>
  <si>
    <t>Automate | 10 Nm | 9 rpm</t>
  </si>
  <si>
    <t>Automate | 15 Nm | 15 rpm</t>
  </si>
  <si>
    <t>Automate | 30 Nm | 15 rpm</t>
  </si>
  <si>
    <t>Automate | 50 Nm | 12 rpm</t>
  </si>
  <si>
    <t>Allowable tube deflection &amp; within control capacity</t>
  </si>
  <si>
    <t>Allowable tube deflection outside of control capacity</t>
  </si>
  <si>
    <t>BALLAST LIST</t>
  </si>
  <si>
    <t>rpm</t>
  </si>
  <si>
    <t>TO DO:</t>
  </si>
  <si>
    <t>F4115 Heavy Duty Bottom Rail</t>
  </si>
  <si>
    <t>D30 Medium Bottom Rail</t>
  </si>
  <si>
    <t>need to double check all regions for brackets options &amp; ALL Hardware configurations.</t>
  </si>
  <si>
    <t xml:space="preserve">need to validate user effort &amp; preturns calculations, current data innaccurate </t>
  </si>
  <si>
    <t>ShowHide Check</t>
  </si>
  <si>
    <t>z_TopHardware</t>
  </si>
  <si>
    <t>Top Hardware</t>
  </si>
  <si>
    <t>Put an 'X' in the hide column to remove from dropdown options.</t>
  </si>
  <si>
    <t>z_WidthStart</t>
  </si>
  <si>
    <t>z_WidthIncrement</t>
  </si>
  <si>
    <t>z_DropStart</t>
  </si>
  <si>
    <t>z_DropIncrement</t>
  </si>
  <si>
    <t>z_TableSetup</t>
  </si>
  <si>
    <t>z_ChartNote1</t>
  </si>
  <si>
    <t>z_ChartNote2</t>
  </si>
  <si>
    <t>z_ChartNote3</t>
  </si>
  <si>
    <t>z_ChartNote4</t>
  </si>
  <si>
    <t>z_BktRollDiameter</t>
  </si>
  <si>
    <t>Bracket Max Roll Diameter</t>
  </si>
  <si>
    <t>1"</t>
  </si>
  <si>
    <t>1-1/8"</t>
  </si>
  <si>
    <t>2-1/2"</t>
  </si>
  <si>
    <t>3-1/4"</t>
  </si>
  <si>
    <t>63 STD Aluminium</t>
  </si>
  <si>
    <t>78 STD Aluminium</t>
  </si>
  <si>
    <t>78 HD Aluminium</t>
  </si>
  <si>
    <t>78 STEEL</t>
  </si>
  <si>
    <t>S100 | 160 XHD</t>
  </si>
  <si>
    <t>Enter Custom Motor rpm</t>
  </si>
  <si>
    <t>complete dictionary for languages</t>
  </si>
  <si>
    <t>MUST UPDATE CONTROL vs. TUBE COMPATIBILITY HEADERS</t>
  </si>
  <si>
    <t>CHECK FULL FORMULA MATCHES TUBE_DEFLECTION NAME</t>
  </si>
  <si>
    <t>3000 NET Privacy</t>
  </si>
  <si>
    <t>3000 NET 1%</t>
  </si>
  <si>
    <t>3000 NET 3%</t>
  </si>
  <si>
    <t>3000 NET 5%</t>
  </si>
  <si>
    <t>3000 NET 10%</t>
  </si>
  <si>
    <t>4000 NET 3%</t>
  </si>
  <si>
    <t>4000 NET 5%</t>
  </si>
  <si>
    <t>3000 HT 3%</t>
  </si>
  <si>
    <t>3000 HT 5%</t>
  </si>
  <si>
    <t>3000 RR</t>
  </si>
  <si>
    <t>4700 P</t>
  </si>
  <si>
    <t>View R</t>
  </si>
  <si>
    <t>4000 L</t>
  </si>
  <si>
    <t>SilverScreen 2%</t>
  </si>
  <si>
    <t>SilverScreen 4%</t>
  </si>
  <si>
    <t>OmniaScreen</t>
  </si>
  <si>
    <t>EnviroScreen</t>
  </si>
  <si>
    <t>Ambient Renew 1%</t>
  </si>
  <si>
    <t>Ambient Renew 5%</t>
  </si>
  <si>
    <t>Ambient</t>
  </si>
  <si>
    <t>Anzio</t>
  </si>
  <si>
    <t>Mesa Light Filtering</t>
  </si>
  <si>
    <t>Mesa Blackout</t>
  </si>
  <si>
    <t>Tempe</t>
  </si>
  <si>
    <t>Verona</t>
  </si>
  <si>
    <t>Milano</t>
  </si>
  <si>
    <t>Torino</t>
  </si>
  <si>
    <t>Panama</t>
  </si>
  <si>
    <t>Chambray</t>
  </si>
  <si>
    <t>Stickan</t>
  </si>
  <si>
    <t>Chenille</t>
  </si>
  <si>
    <t>Trento</t>
  </si>
  <si>
    <t>Vigo</t>
  </si>
  <si>
    <t>Romana</t>
  </si>
  <si>
    <t>Tarifa</t>
  </si>
  <si>
    <t>Villach</t>
  </si>
  <si>
    <t>Soria Blackout</t>
  </si>
  <si>
    <t>Santiago</t>
  </si>
  <si>
    <t>Avesta</t>
  </si>
  <si>
    <t>Avesta Blackout</t>
  </si>
  <si>
    <t>Vista Blackout</t>
  </si>
  <si>
    <t>Mandal</t>
  </si>
  <si>
    <t>Karuna</t>
  </si>
  <si>
    <t>Lugo</t>
  </si>
  <si>
    <t>Falun</t>
  </si>
  <si>
    <t>Largo Transparent</t>
  </si>
  <si>
    <t>Largo Translucent</t>
  </si>
  <si>
    <t>Largo Blackout</t>
  </si>
  <si>
    <t>Balmoral Light Filtering</t>
  </si>
  <si>
    <t>Balmoral Blackout</t>
  </si>
  <si>
    <t>Jersey Light Filtering</t>
  </si>
  <si>
    <t>Jersey Blackout</t>
  </si>
  <si>
    <t>Sanctuary</t>
  </si>
  <si>
    <t>RB91-024x</t>
  </si>
  <si>
    <t>WEIGHT FACTORED</t>
  </si>
  <si>
    <t>(Span/Def) * Weight</t>
  </si>
  <si>
    <t>TUBE DEFLECTION</t>
  </si>
  <si>
    <t xml:space="preserve">total weight does not include bracket weight, or motor mass. </t>
  </si>
  <si>
    <t>SL10</t>
  </si>
  <si>
    <t>SL15</t>
  </si>
  <si>
    <t>SL20</t>
  </si>
  <si>
    <t>SL30</t>
  </si>
  <si>
    <t>N</t>
  </si>
  <si>
    <t>NumTurns</t>
  </si>
  <si>
    <t>TUBE ROTATIONS</t>
  </si>
  <si>
    <t>Automate | 3 Nm | 28 rpm</t>
  </si>
  <si>
    <t>z_ShadeTorque</t>
  </si>
  <si>
    <t>RANK # TURNS</t>
  </si>
  <si>
    <t>RANK DEFLECTION</t>
  </si>
  <si>
    <t>RANK WEIGHT</t>
  </si>
  <si>
    <t>weight factor only list</t>
  </si>
  <si>
    <t>ascending</t>
  </si>
  <si>
    <t>rec start factor</t>
  </si>
  <si>
    <t>limit is: (mm)</t>
  </si>
  <si>
    <t>turn target</t>
  </si>
  <si>
    <t>tube weights of OK deflection</t>
  </si>
  <si>
    <t>new ranks</t>
  </si>
  <si>
    <t># turns dif</t>
  </si>
  <si>
    <t>new rec</t>
  </si>
  <si>
    <t>old rec</t>
  </si>
  <si>
    <t>o_FabricCustom</t>
  </si>
  <si>
    <t>z_CustomFData</t>
  </si>
  <si>
    <t>spanishcustomfdata</t>
  </si>
  <si>
    <t>z_CustomWBData</t>
  </si>
  <si>
    <t>OPTIONS Show On/Off</t>
  </si>
  <si>
    <t xml:space="preserve">OPTIONS </t>
  </si>
  <si>
    <t>OPTIONS</t>
  </si>
  <si>
    <t>RE01-1101</t>
  </si>
  <si>
    <t>Box 120</t>
  </si>
  <si>
    <t>External Open Bracket | Round</t>
  </si>
  <si>
    <t>External Open Bracket | Square</t>
  </si>
  <si>
    <t>RE01-3020</t>
  </si>
  <si>
    <t>RE01-3030</t>
  </si>
  <si>
    <t>Zip Roll Diameter</t>
  </si>
  <si>
    <t>Zip Thickness</t>
  </si>
  <si>
    <t>Zipscreen Deflection Allowance</t>
  </si>
  <si>
    <t>Tube Deflection (Zipscreen ONLY)</t>
  </si>
  <si>
    <t>o_TubeDeflectionLimitZS_Units</t>
  </si>
  <si>
    <t>&amp;" ("&amp;ROUND((C29-(Booster_k*(@Tube_Rotations/2)))/Booster_k,2)&amp;")"</t>
  </si>
  <si>
    <t>Output String:</t>
  </si>
  <si>
    <t>Units;Width;Drop;Fabric;Density;Thickness;WeightBar;Ballast;CustomWeight;Tube;ControlType;Control;Booster;Brackets</t>
  </si>
  <si>
    <t>UnitStorage:</t>
  </si>
  <si>
    <t>Can fabric be railroaded?</t>
  </si>
  <si>
    <t>RRYesNo</t>
  </si>
  <si>
    <t>SearchReturn</t>
  </si>
  <si>
    <t>_Average Fabric</t>
  </si>
  <si>
    <t>_Custom Fabric Data</t>
  </si>
  <si>
    <t>L_FabricSearchList</t>
  </si>
  <si>
    <t>NOTE: Macros MUST be enabled via the bar above when file opens.</t>
  </si>
  <si>
    <t>No suitable options.</t>
  </si>
  <si>
    <t>Kleenscreen 1%</t>
  </si>
  <si>
    <t>Kleenscreen 3%</t>
  </si>
  <si>
    <t>Kleenscreen 5%</t>
  </si>
  <si>
    <t>X-Weave 5%</t>
  </si>
  <si>
    <t>X-Weave 10%</t>
  </si>
  <si>
    <t>External Hem Bar</t>
  </si>
  <si>
    <t>Bottom Up Weight Bar</t>
  </si>
  <si>
    <t>Spare formulas</t>
  </si>
  <si>
    <t>Future Notes</t>
  </si>
  <si>
    <t>changelog</t>
  </si>
  <si>
    <t>updated fabric list with AU &amp; US regional data</t>
  </si>
  <si>
    <t>updated weight bar list with region specific selections</t>
  </si>
  <si>
    <t>Dakota</t>
  </si>
  <si>
    <t>Focus</t>
  </si>
  <si>
    <t>Gala</t>
  </si>
  <si>
    <t>Barbados</t>
  </si>
  <si>
    <t>Kew</t>
  </si>
  <si>
    <t>Metroshade Blackout</t>
  </si>
  <si>
    <t>Metroshade Light Filtering</t>
  </si>
  <si>
    <t>One Block</t>
  </si>
  <si>
    <t>One Screen</t>
  </si>
  <si>
    <t>Positano</t>
  </si>
  <si>
    <t>Serengetti Blackout</t>
  </si>
  <si>
    <t>Serengetti Light Filtering</t>
  </si>
  <si>
    <t>Solar View</t>
  </si>
  <si>
    <t>Solitaire</t>
  </si>
  <si>
    <t>Tusk Block Out</t>
  </si>
  <si>
    <t>Tusk Light Filtering</t>
  </si>
  <si>
    <t>Vivid Block</t>
  </si>
  <si>
    <t>Vivid Shade</t>
  </si>
  <si>
    <t>Riviera Blockout</t>
  </si>
  <si>
    <t>Riviera Light Filtering</t>
  </si>
  <si>
    <t>RegionReturn</t>
  </si>
  <si>
    <t>added 'fabric dropdown search' functionality back</t>
  </si>
  <si>
    <t>_Custom Weight Bar Data</t>
  </si>
  <si>
    <t>z_FinishInputs</t>
  </si>
  <si>
    <t>Complete inputs for recommendation.</t>
  </si>
  <si>
    <t>add minimum width? Would require collating ALL clutch info etc
would require entries for bracket covers, allow potential for idler selections (or assume) - assuming would require another set of rules)
Motors would require idler selection anyway
Would require adaptor deduction data</t>
  </si>
  <si>
    <t xml:space="preserve">Note on Deflection Limit; 0.1% = 1 mm/m, 0.2% = 2 mm/m etc. </t>
  </si>
  <si>
    <t>LX/VX/AX Bracket 40mm Proj.</t>
  </si>
  <si>
    <t>LX/VX/AX Bracket 55mm Proj.</t>
  </si>
  <si>
    <t>Torque</t>
  </si>
  <si>
    <t>(N/m)</t>
  </si>
  <si>
    <t>S60 Multi-Link</t>
  </si>
  <si>
    <t>Easy-Link Skyline</t>
  </si>
  <si>
    <t>Easy-Link</t>
  </si>
  <si>
    <t>Infinite Link</t>
  </si>
  <si>
    <t>Column3</t>
  </si>
  <si>
    <t>LINK OPTIONS</t>
  </si>
  <si>
    <t>LINK COMPATIBILITY.</t>
  </si>
  <si>
    <t>SHADE 1 / ALL SHADES</t>
  </si>
  <si>
    <t>SHADE 2</t>
  </si>
  <si>
    <t>SHADE 3</t>
  </si>
  <si>
    <t>Total Shade Torque</t>
  </si>
  <si>
    <t>Link Friction Factor</t>
  </si>
  <si>
    <t>Link Active?:</t>
  </si>
  <si>
    <t>Link Torque Required</t>
  </si>
  <si>
    <t>i_Tube</t>
  </si>
  <si>
    <t>Link Selection Active?</t>
  </si>
  <si>
    <t>TubeCompatibility</t>
  </si>
  <si>
    <t>Input Width</t>
  </si>
  <si>
    <t>Input Drop</t>
  </si>
  <si>
    <t>Input Shade 2 Width</t>
  </si>
  <si>
    <t>Select Link System</t>
  </si>
  <si>
    <t>Tube Deflection for Shade 2</t>
  </si>
  <si>
    <t>Tube Deflection for Shade 3</t>
  </si>
  <si>
    <t>o_Fabric + Weight Bar + Tube Mass TOTAL</t>
  </si>
  <si>
    <t>="Fabric+Weight Bar Mass"&amp;IF(o_LinkActive="Yes"," For All Shades","")</t>
  </si>
  <si>
    <t>Default</t>
  </si>
  <si>
    <t>OLD =IF(T_Controls[@[Capacity (kg)]]&gt;o_fabric_wb_mass,1,0)</t>
  </si>
  <si>
    <t>selected tube</t>
  </si>
  <si>
    <t>AU ENGLISH</t>
  </si>
  <si>
    <t>US ENGLISH (Setup tbc) - base it off region selection</t>
  </si>
  <si>
    <t>Shade Torque</t>
  </si>
  <si>
    <t xml:space="preserve">can the US infinite link be used with the 2" tube? </t>
  </si>
  <si>
    <t>FOR LINK SYSTEMS ONLY</t>
  </si>
  <si>
    <t>Link Torque Check</t>
  </si>
  <si>
    <t>Output LIST</t>
  </si>
  <si>
    <t>No Link System Compatible</t>
  </si>
  <si>
    <t>Link System Torque Capacity</t>
  </si>
  <si>
    <t>INLCUDES FRICTION FOR MULTIPLE SHADES</t>
  </si>
  <si>
    <t>Added Link Systems</t>
  </si>
  <si>
    <t>Fabric input match?</t>
  </si>
  <si>
    <t>changed wording on fabric input
Added 'o_fabricmatch' check to make sure correct cells greyed out for fabric</t>
  </si>
  <si>
    <t>Fabric Description</t>
  </si>
  <si>
    <t>METRIC</t>
  </si>
  <si>
    <t>IMPERIAL</t>
  </si>
  <si>
    <t>Easy-Link Uni-Joint</t>
  </si>
  <si>
    <t>Control_BoosterCapacity_kg</t>
  </si>
  <si>
    <t>Control_Capacity_kg</t>
  </si>
  <si>
    <t>for system charts only</t>
  </si>
  <si>
    <t>fixed S60 booster options</t>
  </si>
  <si>
    <t>Control Capacity Only (excluding tube deflection, user effort &amp; other factors)</t>
  </si>
  <si>
    <t>Nm (required holding capacity)</t>
  </si>
  <si>
    <t>system charts - added booster selection</t>
  </si>
  <si>
    <t>estimated pre-turns, avg 2 methods</t>
  </si>
  <si>
    <t>created pre-turns ESTIMATE data when a booster is selected.</t>
  </si>
  <si>
    <t>fixed fabric changes not updating lists.</t>
  </si>
  <si>
    <t xml:space="preserve">collate length of all boosters, springs ONLY, for info to output. </t>
  </si>
  <si>
    <t>Holding Capacity MAX</t>
  </si>
  <si>
    <t>T_Max  (biggest booster)</t>
  </si>
  <si>
    <t>Booster Required for holding capacity</t>
  </si>
  <si>
    <t>added in formulas to force a booster selection if the holding capacity of the clutch alone is too low</t>
  </si>
  <si>
    <t>added in ability to type in 'large' sizes for clutch control, without getting 'not available' due to shade torque exceeding clutch holding capacity (as it was not including potential for booster)</t>
  </si>
  <si>
    <t>o_tmax_sum</t>
  </si>
  <si>
    <t xml:space="preserve">todo: error check for no compatible tubes. </t>
  </si>
  <si>
    <t>was an error in the compatible links formula</t>
  </si>
  <si>
    <t>Design_width_max</t>
  </si>
  <si>
    <t>Design_Width_Total</t>
  </si>
  <si>
    <t>Fabric_UnitMass_Total</t>
  </si>
  <si>
    <t>tied in shade torques better for link options</t>
  </si>
  <si>
    <t># Pre-wraps</t>
  </si>
  <si>
    <t>Booster Pre-turns</t>
  </si>
  <si>
    <t>Max Booster Pre-turns</t>
  </si>
  <si>
    <t>changed pre-wraps to be a custom number</t>
  </si>
  <si>
    <t>SL10.SL15 1.5" tube adaptor changed to SLA53. (7)</t>
  </si>
  <si>
    <t>Import String:</t>
  </si>
  <si>
    <t>(Double click &amp; paste output string here)</t>
  </si>
  <si>
    <t>fixed fabric search bug</t>
  </si>
  <si>
    <t>Nm (ALL SHADES)</t>
  </si>
  <si>
    <t>SHADE 1 ONLY</t>
  </si>
  <si>
    <t>fixed link total shade torque, was double dipping on 1st &amp; 2nd shade torques</t>
  </si>
  <si>
    <t>Suggested Tube</t>
  </si>
  <si>
    <t>o_tMax_Sum</t>
  </si>
  <si>
    <t>Extra Heavy Duty RB10 Retro-Fit Booster | S60</t>
  </si>
  <si>
    <t>RB10-6040-xxx051</t>
  </si>
  <si>
    <t>SB05-1301</t>
  </si>
  <si>
    <t>Follow the steps below each warning to enable Macros.</t>
  </si>
  <si>
    <t>https://docs.microsoft.com/en-us/deployoffice/security/internet-macros-blocked#remove-mark-of-the-web-from-a-file</t>
  </si>
  <si>
    <t xml:space="preserve">Find out more here: </t>
  </si>
  <si>
    <t>Simply click 'Enable Content'</t>
  </si>
  <si>
    <t>1. Close the file</t>
  </si>
  <si>
    <t>2. Right click on the Excel file and click 'Properties'</t>
  </si>
  <si>
    <t>4. Re-open file</t>
  </si>
  <si>
    <t xml:space="preserve">Excel Macros provide improved functionality for this file, and it will not work properly unless they are enabled. </t>
  </si>
  <si>
    <t>3. Tick 'Unblock' and click 'OK'</t>
  </si>
  <si>
    <t xml:space="preserve">If 'cancel' is clicked, the workbook is still 100% functional. </t>
  </si>
  <si>
    <t xml:space="preserve">This prompt is for the excel file to connect to our website to check if this version is the latest. A message will flag if the excel is not the latest version. </t>
  </si>
  <si>
    <t>This may be caused by one of the following warnings:</t>
  </si>
  <si>
    <r>
      <t xml:space="preserve">NOTE: Microsoft Excel 2021 or Excel 365 required for complete functionality. </t>
    </r>
    <r>
      <rPr>
        <b/>
        <sz val="11"/>
        <color rgb="FFFF0000"/>
        <rFont val="Calibri"/>
        <family val="2"/>
        <scheme val="minor"/>
      </rPr>
      <t>MACROS MUST BE ENABLED.</t>
    </r>
  </si>
  <si>
    <t>imperial + custom fabric density was under-calculating the fabric mass. (due to error in _Parameters C15</t>
  </si>
  <si>
    <t>Mesa Façade Blackout</t>
  </si>
  <si>
    <t>z_ESA</t>
  </si>
  <si>
    <t>ESA</t>
  </si>
  <si>
    <t>spanishESA</t>
  </si>
  <si>
    <t>z_ESA_Position</t>
  </si>
  <si>
    <t>z_ESA_preTurn</t>
  </si>
  <si>
    <t>Booster Type</t>
  </si>
  <si>
    <t>Booster Position</t>
  </si>
  <si>
    <t>spanish Booster Type</t>
  </si>
  <si>
    <t>spanish Booster Position</t>
  </si>
  <si>
    <t>spanish Booster Pre-turns</t>
  </si>
  <si>
    <t>z_ESA_BoosterType</t>
  </si>
  <si>
    <t>BLANK. FREE TO USE</t>
  </si>
  <si>
    <t>y = blind torque (Nm), x = Top Tube # Rotation (Rev)</t>
  </si>
  <si>
    <t>y = ax²+bx+c</t>
  </si>
  <si>
    <t>a</t>
  </si>
  <si>
    <t>b</t>
  </si>
  <si>
    <t>c</t>
  </si>
  <si>
    <t>Ideal Rate</t>
  </si>
  <si>
    <t>RAW SPRING DATA</t>
  </si>
  <si>
    <t>Check Ideal Rate is above LL</t>
  </si>
  <si>
    <t>LL Spring Rate</t>
  </si>
  <si>
    <t>UL Spring Rate</t>
  </si>
  <si>
    <t>Local Switch</t>
  </si>
  <si>
    <t>Booster Rate Check</t>
  </si>
  <si>
    <t>Options</t>
  </si>
  <si>
    <t>Wire ø (mm)</t>
  </si>
  <si>
    <t>mean coil ID</t>
  </si>
  <si>
    <t>Position</t>
  </si>
  <si>
    <t>Number of coils</t>
  </si>
  <si>
    <t>Nom. Spring Rate</t>
  </si>
  <si>
    <t>Bending stress (Mpa)</t>
  </si>
  <si>
    <t>Min blind width w idler(TBC) mm</t>
  </si>
  <si>
    <t>Min. Width (m)</t>
  </si>
  <si>
    <t>mod of Elast</t>
  </si>
  <si>
    <t>internal coil ID</t>
  </si>
  <si>
    <t>Light</t>
  </si>
  <si>
    <t>y</t>
  </si>
  <si>
    <t>LOWER LIMITS</t>
  </si>
  <si>
    <t>Mini</t>
  </si>
  <si>
    <t>Blind Width = 0.4</t>
  </si>
  <si>
    <t>Blind Width &lt;&gt; 0.4</t>
  </si>
  <si>
    <t>FOR LL Check</t>
  </si>
  <si>
    <t>LL Fudge</t>
  </si>
  <si>
    <t>Check for LL (0 = OFF, 1 = ON)</t>
  </si>
  <si>
    <t>FOR ISLAND FILTER</t>
  </si>
  <si>
    <t>Column Max</t>
  </si>
  <si>
    <t>Medium</t>
  </si>
  <si>
    <t>Row Max</t>
  </si>
  <si>
    <t>O_YesNo</t>
  </si>
  <si>
    <t>O_CalcChart</t>
  </si>
  <si>
    <t>Calculator</t>
  </si>
  <si>
    <t>Heavy</t>
  </si>
  <si>
    <t>Chart</t>
  </si>
  <si>
    <t>O_TrueFalse</t>
  </si>
  <si>
    <t>FIRST LEVEL FILTER</t>
  </si>
  <si>
    <t>LOGIC 1</t>
  </si>
  <si>
    <t>Fudged Turns</t>
  </si>
  <si>
    <t>Logic 1: midBlindTorque (with Fudged Turns)</t>
  </si>
  <si>
    <t>↓</t>
  </si>
  <si>
    <t>Turns @ Mid Blind (With Fudged Turns)</t>
  </si>
  <si>
    <t>Max Turns Required (Logic 1)</t>
  </si>
  <si>
    <t>Pre-Turns Required (Logic 1)</t>
  </si>
  <si>
    <t>Turns check</t>
  </si>
  <si>
    <t>Selection</t>
  </si>
  <si>
    <t>Calculator Use</t>
  </si>
  <si>
    <t>Tube Turns =</t>
  </si>
  <si>
    <t>Mid Blind Torque (Nm) =</t>
  </si>
  <si>
    <t>Max Fabric Diameter (mm) =</t>
  </si>
  <si>
    <t>Drop (m) @ Half Turns =</t>
  </si>
  <si>
    <t>Filter Header Location</t>
  </si>
  <si>
    <t>Col</t>
  </si>
  <si>
    <t>LocTable1 Table Size</t>
  </si>
  <si>
    <t>Column Count</t>
  </si>
  <si>
    <t>Row Count</t>
  </si>
  <si>
    <t>Analysis - Torque Difference</t>
  </si>
  <si>
    <t>Selected Spring Rate, k</t>
  </si>
  <si>
    <t>Recommended Pre Turn, t</t>
  </si>
  <si>
    <t>Blind Torque Coefficients</t>
  </si>
  <si>
    <t>Find Max Torque difference, Dmax</t>
  </si>
  <si>
    <t>D, Turning Point</t>
  </si>
  <si>
    <t>x</t>
  </si>
  <si>
    <t>D</t>
  </si>
  <si>
    <t>Max Torque diff, Dmax</t>
  </si>
  <si>
    <t>Booster Selection Criteria</t>
  </si>
  <si>
    <t>Current</t>
  </si>
  <si>
    <t>Mid Blind Torque</t>
  </si>
  <si>
    <t>Total Blind Turns Required</t>
  </si>
  <si>
    <t>Dev Purpose</t>
  </si>
  <si>
    <t>SPRING SELECTION</t>
  </si>
  <si>
    <t>Current Mode</t>
  </si>
  <si>
    <t>Header</t>
  </si>
  <si>
    <t>Location</t>
  </si>
  <si>
    <t>Spring rate</t>
  </si>
  <si>
    <t>Spring #</t>
  </si>
  <si>
    <t xml:space="preserve">Position </t>
  </si>
  <si>
    <t>Preturn required</t>
  </si>
  <si>
    <t>FOR LOGIC 2/3 (WIP)</t>
  </si>
  <si>
    <t>Populate Blind Torque Profile</t>
  </si>
  <si>
    <t>Island Filter</t>
  </si>
  <si>
    <t>user input</t>
  </si>
  <si>
    <t>calculator use</t>
  </si>
  <si>
    <t>development use</t>
  </si>
  <si>
    <t>CALCULATOR/FILTER INPUTS</t>
  </si>
  <si>
    <t>Ideal Spring Rate</t>
  </si>
  <si>
    <t>Blind Width (m)</t>
  </si>
  <si>
    <t>Blind Drop (m)</t>
  </si>
  <si>
    <t>Blind Torque @ Max Turns(Nm)</t>
  </si>
  <si>
    <t>DASHBOARD ONLY (Not used as Input)</t>
  </si>
  <si>
    <t>Booster Torque as recommended (Nm)</t>
  </si>
  <si>
    <t>Input ESA Booster Rate</t>
  </si>
  <si>
    <t>Input ESA Rec PreTurn</t>
  </si>
  <si>
    <t>Max Blind Torque</t>
  </si>
  <si>
    <t>Min Blind Torque</t>
  </si>
  <si>
    <t>Max Tube Turns</t>
  </si>
  <si>
    <t>Tube Compatibility (1 = Within Tube Deflection, 0 = Outside Tube Deflection)</t>
  </si>
  <si>
    <t>Tube Deflection (From generated system charts)</t>
  </si>
  <si>
    <t>Tube Border (0 = No border, 1 = Right, 2 = Bottom, 3 = Right &amp; Bottom)</t>
  </si>
  <si>
    <t>Input Blind Width</t>
  </si>
  <si>
    <t>Input Blind Drop</t>
  </si>
  <si>
    <t>Blind Width (mm)</t>
  </si>
  <si>
    <t>Blind Drop (mm)</t>
  </si>
  <si>
    <t>Easy Spring Air</t>
  </si>
  <si>
    <t>Easy Spring Air | 1.5"</t>
  </si>
  <si>
    <t>S45 to S60</t>
  </si>
  <si>
    <t>CONTROL TYPE LIST BY REGION</t>
  </si>
  <si>
    <t>CONTROL TYPE</t>
  </si>
  <si>
    <t>User Selected Region</t>
  </si>
  <si>
    <t>CONTROL TYPE LIST</t>
  </si>
  <si>
    <t>Number of Controls</t>
  </si>
  <si>
    <t>L_ControlType moved to dynamic list driven by region</t>
  </si>
  <si>
    <t>PROVISION FOR EXTRA REGION</t>
  </si>
  <si>
    <t>DC added ESA (no link compatibility), AS added S45/S60 adaptor config</t>
  </si>
  <si>
    <t>removed FRS80 (AU discontinued, couldn’t find in US catalogue)</t>
  </si>
  <si>
    <t>Include Control Check if selected</t>
  </si>
  <si>
    <t>List of Compatible Tube if Control is Selected</t>
  </si>
  <si>
    <t>z_NoteSelectTube</t>
  </si>
  <si>
    <t>DC added ESA Micro &amp; Small</t>
  </si>
  <si>
    <t>Rate Var %</t>
  </si>
  <si>
    <t>Micro</t>
  </si>
  <si>
    <t>Small</t>
  </si>
  <si>
    <t>Chart Use</t>
  </si>
  <si>
    <t>Acceptable Rate Variation %</t>
  </si>
  <si>
    <t>Spring Flag</t>
  </si>
  <si>
    <t xml:space="preserve">added fabric wrap hem bar </t>
  </si>
  <si>
    <t>Easy Spring Air | 2"</t>
  </si>
  <si>
    <t>OC added 2" option for ESA</t>
  </si>
  <si>
    <t>Square Cassette 110</t>
  </si>
  <si>
    <t>Drop Limit (mm)</t>
  </si>
  <si>
    <t>Drop Limit (in)</t>
  </si>
  <si>
    <t xml:space="preserve">If the eBOM opens to this page first, it means Excel Macro's have not been enabled. </t>
  </si>
  <si>
    <t>X</t>
  </si>
  <si>
    <t>Easy Spring Air | S45</t>
  </si>
  <si>
    <t>ESA popup now doesn't trigger when custom fabric is changed</t>
  </si>
  <si>
    <t>ESA Error Check</t>
  </si>
  <si>
    <t>Parameter</t>
  </si>
  <si>
    <t>Value</t>
  </si>
  <si>
    <t>Error Check</t>
  </si>
  <si>
    <t>Booster Output</t>
  </si>
  <si>
    <t>Fabric Type</t>
  </si>
  <si>
    <t>Error State</t>
  </si>
  <si>
    <t>Error Message</t>
  </si>
  <si>
    <r>
      <rPr>
        <b/>
        <sz val="11"/>
        <color theme="1"/>
        <rFont val="Calibri"/>
        <family val="2"/>
        <scheme val="minor"/>
      </rPr>
      <t xml:space="preserve">DISCLAIMER: </t>
    </r>
    <r>
      <rPr>
        <sz val="11"/>
        <color theme="1"/>
        <rFont val="Calibri"/>
        <family val="2"/>
        <scheme val="minor"/>
      </rPr>
      <t xml:space="preserve">Rollease Acmeda has used reasonable care in preparing the information included in this workbook, but makes no representations or warranties as to the completeness or accuracy of the information. Information is supplied upon the condition that the persons receiving the information will make their own determination as to is suitability for their purposes prior to use. Rollease Acmeda assumes no liability whatsoever for any damages incurred by you resulting from errors in or omissions from the information included herein. All output data is theoretical, any specific requirements should always be physically tested &amp; validated. Rollease Acmeda reserves the right to make changes without further notice to any products to improve the reliability, function or design. </t>
    </r>
  </si>
  <si>
    <t>S45 ESA added</t>
  </si>
  <si>
    <t>Tusk fabrics now US only, added eclipse blackout global, changed mesa specs</t>
  </si>
  <si>
    <t>RB09 Geared | S45</t>
  </si>
  <si>
    <t>GEARED WINDER - added in. (AS)</t>
  </si>
  <si>
    <t>ESA Check</t>
  </si>
  <si>
    <t>Added more tube output list checks | *SUMPRODUCT(D15,F15,C15) in options show on/off column</t>
  </si>
  <si>
    <t>1 = data completed</t>
  </si>
  <si>
    <t>0 = no options = bad</t>
  </si>
  <si>
    <t>1 = triggers warning</t>
  </si>
  <si>
    <t>There are no ESA springs that will achieve a balanced system. 
If you have included ballast, try removing it.
Otherwise, you may need to adjust the system parameters.</t>
  </si>
  <si>
    <t>RegionCheck</t>
  </si>
  <si>
    <t xml:space="preserve">TODO Check chain length calcs. </t>
  </si>
  <si>
    <t>Min. Chain Length for Ball stop</t>
  </si>
  <si>
    <t>Loop Length</t>
  </si>
  <si>
    <t>Chain clearance</t>
  </si>
  <si>
    <t>need to indicate full ballast length with ESA selection</t>
  </si>
  <si>
    <t>ChainCoveredLength</t>
  </si>
  <si>
    <t>RB09 w/ Guide | S45</t>
  </si>
  <si>
    <t>RB09 Geared w/ Guide | S45</t>
  </si>
  <si>
    <t>covered chain lookup</t>
  </si>
  <si>
    <t>=(0.5*(Control_D*Control_Ratio*PI()*@Tube_Rotations)-0.5*Control_D*PI()+Control_D)</t>
  </si>
  <si>
    <t>20mm x 5mm Flat Bar (x1)</t>
  </si>
  <si>
    <t>25mm x 8mm Flat Bar (x1)</t>
  </si>
  <si>
    <t>if selected weight bar is less than 500g/m, add 1x ballast</t>
  </si>
  <si>
    <t>custom rules per row</t>
  </si>
  <si>
    <t>**if changing descriptions here, MUST update the descriptions in the bracket &amp; springs compatibility lookup table header</t>
  </si>
  <si>
    <t>changed default deflction limit to .105</t>
  </si>
  <si>
    <t>=IF(AND(i_ControlType="Easy Spring Air",wb_UnitMass&lt;0.5,i_wb&lt;&gt;z_CustomWBData),0,1)</t>
  </si>
  <si>
    <t>Allowed 'no ballast' on ESA, this may be a genuine option for light fabrics.</t>
  </si>
  <si>
    <t>Source:</t>
  </si>
  <si>
    <t>C:\RA Vault\Projects Library\Rollers\NPD-22062 - RisingSun Springs w  S45 &amp; LX brackets\Reports\NPD-22062 ESA S45 min blind width with limiters.xlsx</t>
  </si>
  <si>
    <t>Minimum Blind Width</t>
  </si>
  <si>
    <t>Limiter - STD</t>
  </si>
  <si>
    <t>Skyline Pin End (US Only)</t>
  </si>
  <si>
    <t>Skyline HD Pin End (US Only)</t>
  </si>
  <si>
    <t>MICRO</t>
  </si>
  <si>
    <t>SMALL</t>
  </si>
  <si>
    <t>MINI</t>
  </si>
  <si>
    <t>LIGHT</t>
  </si>
  <si>
    <t>MEDIUM</t>
  </si>
  <si>
    <t>HEAVY</t>
  </si>
  <si>
    <t>Min width(mm)
 for STD limiter</t>
  </si>
  <si>
    <t>Min width(mm)
 for Idler(max)</t>
  </si>
  <si>
    <t>Min width(mm)
for HD Idler(max)</t>
  </si>
  <si>
    <t>Select Idler Type</t>
  </si>
  <si>
    <t>Idler Modifier</t>
  </si>
  <si>
    <t>S45/1.5"</t>
  </si>
  <si>
    <t>1.5"</t>
  </si>
  <si>
    <t>Compatible Booster List</t>
  </si>
  <si>
    <t>o_BoosterPosition2</t>
  </si>
  <si>
    <t>o_BoosterPreTurn2</t>
  </si>
  <si>
    <t>Selected Booster Type</t>
  </si>
  <si>
    <t>Added 22-Mar-2024</t>
  </si>
  <si>
    <t>z_minSystemWidth</t>
  </si>
  <si>
    <t>Kleenscreen Blackout</t>
  </si>
  <si>
    <t>ESA update: Update minimum width to match chart generator (default idler - short Skyline pin end), update ESA recommendation as a list of compatible booster
Added iESABooster to iSelectionGrp1 &amp; iListCheckGrp1
Added Range("i_ESA_Booster") to Clear Selections
Added z_minSystemWidth - show if ESA Booster type selected &amp; design_width &lt; 1.2m
Updated currentRevision = 1.20
Changed Eclipse fabric to Kleenscreen</t>
  </si>
  <si>
    <t>EXCEL VERSION ERROR CHECK (BY FUNCTION)</t>
  </si>
  <si>
    <t>XLOOKUP</t>
  </si>
  <si>
    <t>FILTER</t>
  </si>
  <si>
    <t>Delete 'X' in the hide column to reset visibility.</t>
  </si>
  <si>
    <t>v1.21</t>
  </si>
  <si>
    <t>Refer to Product Specifications for minimum system widths</t>
  </si>
  <si>
    <t>Correct issue with SL10's not showing. 
Added excel version check warning</t>
  </si>
  <si>
    <t>Standard Spring Assist Booster | SL15</t>
  </si>
  <si>
    <t>Heavy Duty Spring Assist Booster | SL15</t>
  </si>
  <si>
    <t>RB04-3815-xxx001/2</t>
  </si>
  <si>
    <t>RB04-3816-xxx001/2</t>
  </si>
  <si>
    <t>RB04-3820-xxx001/2</t>
  </si>
  <si>
    <t>RB04-3821-xxx001/2</t>
  </si>
  <si>
    <t>_</t>
  </si>
  <si>
    <t>Automate | 0.7 Nm | 20 rpm</t>
  </si>
  <si>
    <t>v1.22</t>
  </si>
  <si>
    <t>Active Radius</t>
  </si>
  <si>
    <t>Max</t>
  </si>
  <si>
    <t>Min</t>
  </si>
  <si>
    <t>Oct24 thru Jan25</t>
  </si>
  <si>
    <t>RE01-1106</t>
  </si>
  <si>
    <t>Box 160</t>
  </si>
  <si>
    <t>Box 190</t>
  </si>
  <si>
    <t>Extreme Zipscreen Open Bracket</t>
  </si>
  <si>
    <t>Extreme Top/Face Bracket | S100</t>
  </si>
  <si>
    <t>Extreme Recess Bracket | S100</t>
  </si>
  <si>
    <t>Opulence Brackets</t>
  </si>
  <si>
    <t>(OH) added RB04 spring + SL compatibility
(AS) Changed 0.5Nm motor to 0.7Nm, updated AU compatbility. 
(AS) Updated bracket compatibility for some US items.
(AS) added Box 160, allowed 10Nm motor selection with 78mm tubes. 
(OH) Added opulence brackets</t>
  </si>
  <si>
    <t>v1.23</t>
  </si>
  <si>
    <t>Automate | 6 Nm | 28 rpm</t>
  </si>
  <si>
    <t>RB07 | S40 &amp; S45</t>
  </si>
  <si>
    <r>
      <t xml:space="preserve">(AS) Added 3Nm and 6Nm motor compat to S60 brackets
(AS) Changed 6 Nm | 33 rpm to 6 Nm | </t>
    </r>
    <r>
      <rPr>
        <b/>
        <sz val="11"/>
        <color theme="1"/>
        <rFont val="Calibri"/>
        <family val="2"/>
        <scheme val="minor"/>
      </rPr>
      <t>28</t>
    </r>
    <r>
      <rPr>
        <sz val="11"/>
        <color theme="1"/>
        <rFont val="Calibri"/>
        <family val="2"/>
        <scheme val="minor"/>
      </rPr>
      <t xml:space="preserve"> rpm
(AS) Changeed RB078 | S45 to RB07 | </t>
    </r>
    <r>
      <rPr>
        <b/>
        <sz val="11"/>
        <color theme="1"/>
        <rFont val="Calibri"/>
        <family val="2"/>
        <scheme val="minor"/>
      </rPr>
      <t>S40 &amp;</t>
    </r>
    <r>
      <rPr>
        <sz val="11"/>
        <color theme="1"/>
        <rFont val="Calibri"/>
        <family val="2"/>
        <scheme val="minor"/>
      </rPr>
      <t xml:space="preserve"> S45
(AS) Added pre-wrap to 'tube_rotations' calculation to increase base OD.</t>
    </r>
  </si>
  <si>
    <t>SHADE 4</t>
  </si>
  <si>
    <t>SHADE 5</t>
  </si>
  <si>
    <t>o_tMax1+(o_tMax2+o_tMax3*(1+Link_FF))*(1+Link_FF)</t>
  </si>
  <si>
    <t>(o_tMax2+o_tMax3*(1+Link_FF))</t>
  </si>
  <si>
    <t>shade1</t>
  </si>
  <si>
    <t>shade2</t>
  </si>
  <si>
    <t>shade3</t>
  </si>
  <si>
    <t>shade4</t>
  </si>
  <si>
    <t>shade5</t>
  </si>
  <si>
    <t>link1</t>
  </si>
  <si>
    <t>link2</t>
  </si>
  <si>
    <t>link3</t>
  </si>
  <si>
    <t>link4</t>
  </si>
  <si>
    <t>Input Shade 3 Width</t>
  </si>
  <si>
    <t>Total Control Torque reqd</t>
  </si>
  <si>
    <t>Input Shade 5 Width</t>
  </si>
  <si>
    <t>Input Shade 4 Width</t>
  </si>
  <si>
    <t>Tube_Deflection_Units</t>
  </si>
  <si>
    <t>Tube Deflection for Shade 4</t>
  </si>
  <si>
    <t>Tube Deflection for Shade 5</t>
  </si>
  <si>
    <t>Max Link Torque Required</t>
  </si>
  <si>
    <t>X-Weave Zero</t>
  </si>
  <si>
    <t>Chateau Light Filtering</t>
  </si>
  <si>
    <t>Chateau Blackout</t>
  </si>
  <si>
    <t>Indoor Roller Shade Calculator</t>
  </si>
  <si>
    <t>RB93-23x5</t>
  </si>
  <si>
    <t>1-1/2" Switch</t>
  </si>
  <si>
    <t>v1.25</t>
  </si>
  <si>
    <t>(OC) Added 1.5" switch tube (US only)</t>
  </si>
  <si>
    <t>Tube_Count</t>
  </si>
  <si>
    <t>=IFERROR(INDEX(Tube_Description,MATCH(1,$T$15:$T$38,0)),"No suitable options.")</t>
  </si>
  <si>
    <t>Vasso Blackout</t>
  </si>
  <si>
    <t>Ambient Edge 1%</t>
  </si>
  <si>
    <t>Ambient Edge 3%</t>
  </si>
  <si>
    <t>v1.28</t>
  </si>
  <si>
    <t>(OC) Added Vasso blackout, ambient edge 1% and 3% fabrics</t>
  </si>
  <si>
    <t xml:space="preserve">INSERT ROWS ACROSS THE ENTIRE PAGE. NOT JUST IN THE TABLE. </t>
  </si>
  <si>
    <t>Tusk fabric spec update, no rev bump</t>
  </si>
  <si>
    <t>RB09 | 1.5"</t>
  </si>
  <si>
    <t>1.5" to 2"</t>
  </si>
  <si>
    <t>1.5" to S60</t>
  </si>
  <si>
    <t>RB09 Geared w/ Guide | 1.5"</t>
  </si>
  <si>
    <t>Standard Spring Assist Booster</t>
  </si>
  <si>
    <t>Heavy Duty Spring Assist Booster</t>
  </si>
  <si>
    <t>RB09 w/ Guide | 1-1/2"</t>
  </si>
  <si>
    <t>Opulence Hem Bar</t>
  </si>
  <si>
    <t>Mass/m (kg)</t>
  </si>
  <si>
    <t>WeightBar Check</t>
  </si>
  <si>
    <t>iNDEX(W119:AT119,,MATCH(i_Tube,$W$118:$AT$118,0))</t>
  </si>
  <si>
    <t>Region Check</t>
  </si>
  <si>
    <t>5mm x 7.5mm Weight Rod (x1)</t>
  </si>
  <si>
    <t>5mm x 7.5mm Weight Rod (x2)</t>
  </si>
  <si>
    <t>Added 1-1/2" RB09 w/ Guide to US</t>
  </si>
  <si>
    <t>v1.3</t>
  </si>
  <si>
    <t>AU tube range removed x" variants</t>
  </si>
  <si>
    <t>Updated Ballast selections logic
- ESA limited to 1 x ballast
- 2 x ballast removed from weight bars that can't fit it
 - AU oval balalst renamed</t>
  </si>
  <si>
    <t>Removed skyline brackets from AU region. (still available under global)</t>
  </si>
  <si>
    <t>RB09 Geared |1-1/2"</t>
  </si>
  <si>
    <t>DocumentName</t>
  </si>
  <si>
    <t>CurrentVersion</t>
  </si>
  <si>
    <t>RollerShadeCalculator</t>
  </si>
  <si>
    <t>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</si>
</sst>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164" formatCode="0.000"/>
    <numFmt numFmtId="165" formatCode="0.0"/>
    <numFmt numFmtId="166" formatCode="0.0000"/>
    <numFmt numFmtId="167" formatCode="0.0000000"/>
    <numFmt numFmtId="168" formatCode="0.00000"/>
    <numFmt numFmtId="169" formatCode="#\ ?/2"/>
    <numFmt numFmtId="170" formatCode=";;;"/>
    <numFmt numFmtId="171" formatCode="#0\ &quot;g/m²&quot;;\-#0\ &quot;g/m²&quot;;&quot;Enter Value&quot;"/>
    <numFmt numFmtId="172" formatCode="0.0\ \m\m\x\x"/>
    <numFmt numFmtId="173" formatCode="0.0\ \m\m\ \(\0\%\)"/>
    <numFmt numFmtId="174" formatCode="0\ &quot;rpm&quot;"/>
    <numFmt numFmtId="175" formatCode="0.0\ &quot;Nm&quot;"/>
    <numFmt numFmtId="176" formatCode="0.000000000"/>
    <numFmt numFmtId="177" formatCode="0.000000"/>
    <numFmt numFmtId="178" formatCode="0.00000000"/>
    <numFmt numFmtId="179" formatCode="0.0##&quot;%&quot;"/>
    <numFmt numFmtId="180" formatCode="####\ \g\/\m\²"/>
    <numFmt numFmtId="181" formatCode="0.00\ &quot;Nm&quot;"/>
    <numFmt numFmtId="182" formatCode="0.0\ \m\m"/>
  </numFmts>
  <fonts count="66">
    <font>
      <sz val="11"/>
      <color theme="1"/>
      <name val="Calibri"/>
      <family val="2"/>
      <scheme val="minor"/>
    </font>
    <font>
      <b/>
      <sz val="11"/>
      <color theme="1"/>
      <name val="Calibri"/>
      <family val="2"/>
      <scheme val="minor"/>
    </font>
    <font>
      <sz val="11"/>
      <color rgb="FF3F3F76"/>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3F3F76"/>
      <name val="Calibri"/>
      <family val="2"/>
      <scheme val="minor"/>
    </font>
    <font>
      <sz val="6"/>
      <color theme="1"/>
      <name val="Calibri"/>
      <family val="2"/>
      <scheme val="minor"/>
    </font>
    <font>
      <b/>
      <sz val="1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4"/>
      <color theme="1"/>
      <name val="Calibri"/>
      <family val="2"/>
      <scheme val="minor"/>
    </font>
    <font>
      <sz val="14"/>
      <color theme="1"/>
      <name val="Calibri"/>
      <family val="2"/>
      <scheme val="minor"/>
    </font>
    <font>
      <sz val="11"/>
      <name val="Calibri"/>
      <family val="2"/>
      <scheme val="minor"/>
    </font>
    <font>
      <sz val="10"/>
      <color theme="1"/>
      <name val="Calibri"/>
      <family val="2"/>
      <scheme val="minor"/>
    </font>
    <font>
      <sz val="11"/>
      <color theme="1"/>
      <name val="Arial"/>
      <family val="2"/>
    </font>
    <font>
      <sz val="10"/>
      <name val="Arial"/>
      <family val="2"/>
    </font>
    <font>
      <b/>
      <sz val="18"/>
      <color theme="1"/>
      <name val="Calibri"/>
      <family val="2"/>
      <scheme val="minor"/>
    </font>
    <font>
      <b/>
      <sz val="10"/>
      <name val="Arial"/>
      <family val="2"/>
    </font>
    <font>
      <b/>
      <sz val="11"/>
      <color rgb="FF3F3F3F"/>
      <name val="Calibri"/>
      <family val="2"/>
      <scheme val="minor"/>
    </font>
    <font>
      <i/>
      <sz val="11"/>
      <color theme="1"/>
      <name val="Calibri"/>
      <family val="2"/>
      <scheme val="minor"/>
    </font>
    <font>
      <b/>
      <sz val="20"/>
      <color theme="1"/>
      <name val="DINOT-Bold"/>
      <family val="2"/>
    </font>
    <font>
      <sz val="16"/>
      <name val="Calibri"/>
      <family val="2"/>
      <scheme val="minor"/>
    </font>
    <font>
      <b/>
      <sz val="12"/>
      <name val="Calibri"/>
      <family val="2"/>
      <scheme val="minor"/>
    </font>
    <font>
      <sz val="14"/>
      <name val="Calibri"/>
      <family val="2"/>
      <scheme val="minor"/>
    </font>
    <font>
      <b/>
      <sz val="20"/>
      <name val="DINOT-Bold"/>
      <family val="2"/>
    </font>
    <font>
      <sz val="10"/>
      <name val="Calibri"/>
      <family val="2"/>
      <scheme val="minor"/>
    </font>
    <font>
      <b/>
      <sz val="11"/>
      <color rgb="FF3F3F76"/>
      <name val="Calibri"/>
      <family val="2"/>
      <scheme val="minor"/>
    </font>
    <font>
      <b/>
      <sz val="11"/>
      <color rgb="FFFF0000"/>
      <name val="Calibri"/>
      <family val="2"/>
      <scheme val="minor"/>
    </font>
    <font>
      <b/>
      <sz val="11"/>
      <color rgb="FFFA7D00"/>
      <name val="Calibri"/>
      <family val="2"/>
      <scheme val="minor"/>
    </font>
    <font>
      <sz val="8"/>
      <name val="Calibri"/>
      <family val="2"/>
      <scheme val="minor"/>
    </font>
    <font>
      <sz val="12"/>
      <color theme="1"/>
      <name val="Calibri"/>
      <family val="2"/>
      <scheme val="minor"/>
    </font>
    <font>
      <b/>
      <sz val="16"/>
      <color theme="1"/>
      <name val="DINOT-Bold"/>
      <family val="2"/>
    </font>
    <font>
      <b/>
      <sz val="16"/>
      <color theme="1"/>
      <name val="Calibri"/>
      <family val="2"/>
      <scheme val="minor"/>
    </font>
    <font>
      <sz val="11"/>
      <color theme="1"/>
      <name val="Gs1"/>
    </font>
    <font>
      <b/>
      <sz val="16"/>
      <color theme="0"/>
      <name val="Calibri"/>
      <family val="2"/>
      <scheme val="minor"/>
    </font>
    <font>
      <b/>
      <i/>
      <sz val="12"/>
      <color rgb="FFFF0000"/>
      <name val="Calibri"/>
      <family val="2"/>
      <scheme val="minor"/>
    </font>
    <font>
      <sz val="12"/>
      <name val="Calibri"/>
      <family val="2"/>
      <scheme val="minor"/>
    </font>
    <font>
      <b/>
      <sz val="12"/>
      <color rgb="FFFF0000"/>
      <name val="Calibri"/>
      <family val="2"/>
      <scheme val="minor"/>
    </font>
    <font>
      <b/>
      <sz val="12"/>
      <color theme="0"/>
      <name val="Calibri"/>
      <family val="2"/>
      <scheme val="minor"/>
    </font>
    <font>
      <sz val="12"/>
      <color rgb="FF3F3F76"/>
      <name val="Calibri"/>
      <family val="2"/>
      <scheme val="minor"/>
    </font>
    <font>
      <b/>
      <sz val="14"/>
      <color rgb="FF000000"/>
      <name val="Calibri"/>
      <family val="2"/>
    </font>
    <font>
      <b/>
      <sz val="20"/>
      <color theme="1"/>
      <name val="Calibri"/>
      <family val="2"/>
      <scheme val="minor"/>
    </font>
    <font>
      <b/>
      <sz val="10"/>
      <color theme="1"/>
      <name val="Calibri"/>
      <family val="2"/>
      <scheme val="minor"/>
    </font>
    <font>
      <sz val="11"/>
      <color theme="0"/>
      <name val="Calibri"/>
      <family val="2"/>
      <scheme val="minor"/>
    </font>
    <font>
      <i/>
      <sz val="12"/>
      <color theme="1"/>
      <name val="Calibri"/>
      <family val="2"/>
      <scheme val="minor"/>
    </font>
    <font>
      <b/>
      <u/>
      <sz val="11"/>
      <color theme="1"/>
      <name val="Calibri"/>
      <family val="2"/>
      <scheme val="minor"/>
    </font>
    <font>
      <sz val="9"/>
      <color indexed="81"/>
      <name val="Tahoma"/>
      <family val="2"/>
    </font>
    <font>
      <b/>
      <sz val="9"/>
      <color indexed="81"/>
      <name val="Tahoma"/>
      <family val="2"/>
    </font>
    <font>
      <b/>
      <sz val="14"/>
      <color rgb="FFFF0000"/>
      <name val="Calibri"/>
      <family val="2"/>
      <scheme val="minor"/>
    </font>
    <font>
      <i/>
      <sz val="11"/>
      <name val="Calibri"/>
      <family val="2"/>
      <scheme val="minor"/>
    </font>
    <font>
      <b/>
      <i/>
      <sz val="11"/>
      <name val="Calibri"/>
      <family val="2"/>
      <scheme val="minor"/>
    </font>
    <font>
      <i/>
      <sz val="9"/>
      <color theme="1"/>
      <name val="Calibri"/>
      <family val="2"/>
      <scheme val="minor"/>
    </font>
    <font>
      <sz val="18"/>
      <color theme="1"/>
      <name val="Calibri"/>
      <family val="2"/>
      <scheme val="minor"/>
    </font>
    <font>
      <u/>
      <sz val="11"/>
      <color theme="10"/>
      <name val="Calibri"/>
      <family val="2"/>
      <scheme val="minor"/>
    </font>
    <font>
      <u/>
      <sz val="12"/>
      <color theme="10"/>
      <name val="Calibri"/>
      <family val="2"/>
      <scheme val="minor"/>
    </font>
    <font>
      <sz val="28"/>
      <color theme="1"/>
      <name val="Calibri"/>
      <family val="2"/>
      <scheme val="minor"/>
    </font>
    <font>
      <b/>
      <sz val="11"/>
      <color rgb="FF000000"/>
      <name val="Calibri"/>
      <family val="2"/>
    </font>
    <font>
      <b/>
      <sz val="18"/>
      <color rgb="FFFF0000"/>
      <name val="Calibri"/>
      <family val="2"/>
      <scheme val="minor"/>
    </font>
    <font>
      <b/>
      <sz val="11"/>
      <color theme="0"/>
      <name val="Calibri"/>
      <family val="2"/>
      <scheme val="minor"/>
    </font>
    <font>
      <b/>
      <sz val="28"/>
      <color rgb="FFFF0000"/>
      <name val="Calibri"/>
      <family val="2"/>
      <scheme val="minor"/>
    </font>
    <font>
      <sz val="28"/>
      <color rgb="FFFF0000"/>
      <name val="Calibri"/>
      <family val="2"/>
      <scheme val="minor"/>
    </font>
    <font>
      <sz val="18"/>
      <color rgb="FFFF0000"/>
      <name val="Calibri"/>
      <family val="2"/>
      <scheme val="minor"/>
    </font>
    <font>
      <b/>
      <sz val="20"/>
      <color rgb="FFFF0000"/>
      <name val="Calibri"/>
      <family val="2"/>
      <scheme val="minor"/>
    </font>
  </fonts>
  <fills count="27">
    <fill>
      <patternFill patternType="none"/>
    </fill>
    <fill>
      <patternFill patternType="gray125"/>
    </fill>
    <fill>
      <patternFill patternType="solid">
        <fgColor rgb="FFFFFF00"/>
        <bgColor indexed="64"/>
      </patternFill>
    </fill>
    <fill>
      <patternFill patternType="solid">
        <fgColor rgb="FFFFCC99"/>
      </patternFill>
    </fill>
    <fill>
      <patternFill patternType="solid">
        <fgColor theme="0" tint="-0.249977111117893"/>
        <bgColor indexed="64"/>
      </patternFill>
    </fill>
    <fill>
      <patternFill patternType="solid">
        <fgColor theme="0" tint="-0.499984740745262"/>
        <bgColor indexed="6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rgb="FFFFC000"/>
        <bgColor indexed="64"/>
      </patternFill>
    </fill>
    <fill>
      <patternFill patternType="solid">
        <fgColor rgb="FFF2F2F2"/>
      </patternFill>
    </fill>
    <fill>
      <patternFill patternType="solid">
        <fgColor rgb="FF0070C0"/>
        <bgColor indexed="64"/>
      </patternFill>
    </fill>
    <fill>
      <patternFill patternType="solid">
        <fgColor theme="0"/>
        <bgColor indexed="64"/>
      </patternFill>
    </fill>
    <fill>
      <patternFill patternType="solid">
        <fgColor rgb="FF2A3237"/>
        <bgColor indexed="64"/>
      </patternFill>
    </fill>
    <fill>
      <patternFill patternType="solid">
        <fgColor rgb="FFB0E1EB"/>
        <bgColor indexed="64"/>
      </patternFill>
    </fill>
    <fill>
      <patternFill patternType="solid">
        <fgColor rgb="FF636B6E"/>
        <bgColor indexed="64"/>
      </patternFill>
    </fill>
    <fill>
      <patternFill patternType="solid">
        <fgColor rgb="FFF5FAFD"/>
        <bgColor indexed="64"/>
      </patternFill>
    </fill>
    <fill>
      <patternFill patternType="solid">
        <fgColor rgb="FF3FBAD4"/>
        <bgColor indexed="64"/>
      </patternFill>
    </fill>
    <fill>
      <patternFill patternType="solid">
        <fgColor rgb="FF64C5DB"/>
        <bgColor indexed="64"/>
      </patternFill>
    </fill>
    <fill>
      <patternFill patternType="solid">
        <fgColor rgb="FF89D4E3"/>
        <bgColor indexed="64"/>
      </patternFill>
    </fill>
    <fill>
      <gradientFill degree="180">
        <stop position="0">
          <color theme="0"/>
        </stop>
        <stop position="1">
          <color rgb="FF2A3237"/>
        </stop>
      </gradient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4"/>
        <bgColor theme="4"/>
      </patternFill>
    </fill>
  </fills>
  <borders count="191">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bottom/>
      <diagonal/>
    </border>
    <border>
      <left/>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medium">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medium">
        <color auto="1"/>
      </right>
      <top style="thin">
        <color auto="1"/>
      </top>
      <bottom/>
      <diagonal/>
    </border>
    <border>
      <left style="medium">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thin">
        <color auto="1"/>
      </left>
      <right/>
      <top/>
      <bottom/>
      <diagonal/>
    </border>
    <border>
      <left style="hair">
        <color auto="1"/>
      </left>
      <right/>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style="hair">
        <color auto="1"/>
      </left>
      <right style="medium">
        <color auto="1"/>
      </right>
      <top style="medium">
        <color auto="1"/>
      </top>
      <bottom style="thin">
        <color auto="1"/>
      </bottom>
      <diagonal/>
    </border>
    <border>
      <left style="hair">
        <color auto="1"/>
      </left>
      <right style="medium">
        <color auto="1"/>
      </right>
      <top style="thin">
        <color auto="1"/>
      </top>
      <bottom style="thin">
        <color auto="1"/>
      </bottom>
      <diagonal/>
    </border>
    <border>
      <left style="hair">
        <color auto="1"/>
      </left>
      <right style="medium">
        <color auto="1"/>
      </right>
      <top style="thin">
        <color auto="1"/>
      </top>
      <bottom style="medium">
        <color auto="1"/>
      </bottom>
      <diagonal/>
    </border>
    <border>
      <left style="hair">
        <color auto="1"/>
      </left>
      <right style="thin">
        <color auto="1"/>
      </right>
      <top style="medium">
        <color auto="1"/>
      </top>
      <bottom style="medium">
        <color auto="1"/>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indexed="64"/>
      </top>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rgb="FF7F7F7F"/>
      </left>
      <right style="thin">
        <color rgb="FF7F7F7F"/>
      </right>
      <top style="hair">
        <color auto="1"/>
      </top>
      <bottom style="hair">
        <color auto="1"/>
      </bottom>
      <diagonal/>
    </border>
    <border>
      <left/>
      <right style="medium">
        <color auto="1"/>
      </right>
      <top style="hair">
        <color auto="1"/>
      </top>
      <bottom style="hair">
        <color auto="1"/>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right/>
      <top style="medium">
        <color auto="1"/>
      </top>
      <bottom/>
      <diagonal/>
    </border>
    <border>
      <left style="medium">
        <color auto="1"/>
      </left>
      <right style="hair">
        <color auto="1"/>
      </right>
      <top style="medium">
        <color auto="1"/>
      </top>
      <bottom style="thin">
        <color auto="1"/>
      </bottom>
      <diagonal/>
    </border>
    <border>
      <left style="medium">
        <color auto="1"/>
      </left>
      <right style="hair">
        <color auto="1"/>
      </right>
      <top style="thin">
        <color auto="1"/>
      </top>
      <bottom style="thin">
        <color auto="1"/>
      </bottom>
      <diagonal/>
    </border>
    <border>
      <left style="medium">
        <color auto="1"/>
      </left>
      <right style="hair">
        <color auto="1"/>
      </right>
      <top style="medium">
        <color auto="1"/>
      </top>
      <bottom/>
      <diagonal/>
    </border>
    <border>
      <left style="medium">
        <color auto="1"/>
      </left>
      <right style="hair">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style="medium">
        <color auto="1"/>
      </right>
      <top style="medium">
        <color auto="1"/>
      </top>
      <bottom style="medium">
        <color auto="1"/>
      </bottom>
      <diagonal/>
    </border>
    <border>
      <left style="thin">
        <color auto="1"/>
      </left>
      <right/>
      <top style="hair">
        <color auto="1"/>
      </top>
      <bottom/>
      <diagonal/>
    </border>
    <border>
      <left style="thin">
        <color auto="1"/>
      </left>
      <right style="thin">
        <color auto="1"/>
      </right>
      <top/>
      <bottom/>
      <diagonal/>
    </border>
    <border>
      <left/>
      <right style="medium">
        <color auto="1"/>
      </right>
      <top/>
      <bottom/>
      <diagonal/>
    </border>
    <border>
      <left/>
      <right/>
      <top/>
      <bottom style="medium">
        <color indexed="64"/>
      </bottom>
      <diagonal/>
    </border>
    <border>
      <left style="thin">
        <color auto="1"/>
      </left>
      <right/>
      <top/>
      <bottom style="thin">
        <color auto="1"/>
      </bottom>
      <diagonal/>
    </border>
    <border>
      <left style="thin">
        <color auto="1"/>
      </left>
      <right/>
      <top/>
      <bottom style="hair">
        <color auto="1"/>
      </bottom>
      <diagonal/>
    </border>
    <border>
      <left/>
      <right style="medium">
        <color auto="1"/>
      </right>
      <top/>
      <bottom style="hair">
        <color auto="1"/>
      </bottom>
      <diagonal/>
    </border>
    <border>
      <left/>
      <right style="thin">
        <color auto="1"/>
      </right>
      <top style="thin">
        <color auto="1"/>
      </top>
      <bottom style="hair">
        <color auto="1"/>
      </bottom>
      <diagonal/>
    </border>
    <border>
      <left/>
      <right style="thin">
        <color auto="1"/>
      </right>
      <top style="hair">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thin">
        <color rgb="FF3F3F3F"/>
      </left>
      <right style="thin">
        <color rgb="FF3F3F3F"/>
      </right>
      <top style="thin">
        <color rgb="FF3F3F3F"/>
      </top>
      <bottom style="thin">
        <color rgb="FF3F3F3F"/>
      </bottom>
      <diagonal/>
    </border>
    <border>
      <left style="hair">
        <color theme="1"/>
      </left>
      <right style="hair">
        <color theme="1"/>
      </right>
      <top/>
      <bottom style="thin">
        <color theme="0"/>
      </bottom>
      <diagonal/>
    </border>
    <border>
      <left style="hair">
        <color theme="1"/>
      </left>
      <right style="hair">
        <color indexed="64"/>
      </right>
      <top/>
      <bottom style="thin">
        <color theme="0"/>
      </bottom>
      <diagonal/>
    </border>
    <border>
      <left/>
      <right style="hair">
        <color theme="1"/>
      </right>
      <top/>
      <bottom style="thin">
        <color theme="0"/>
      </bottom>
      <diagonal/>
    </border>
    <border>
      <left/>
      <right style="thin">
        <color theme="0"/>
      </right>
      <top style="thin">
        <color theme="0"/>
      </top>
      <bottom style="thin">
        <color theme="0"/>
      </bottom>
      <diagonal/>
    </border>
    <border>
      <left style="medium">
        <color theme="0"/>
      </left>
      <right/>
      <top style="hair">
        <color auto="1"/>
      </top>
      <bottom style="hair">
        <color auto="1"/>
      </bottom>
      <diagonal/>
    </border>
    <border>
      <left style="medium">
        <color theme="0"/>
      </left>
      <right/>
      <top/>
      <bottom style="hair">
        <color auto="1"/>
      </bottom>
      <diagonal/>
    </border>
    <border>
      <left style="hair">
        <color theme="1"/>
      </left>
      <right style="hair">
        <color theme="1"/>
      </right>
      <top/>
      <bottom/>
      <diagonal/>
    </border>
    <border>
      <left/>
      <right/>
      <top style="hair">
        <color theme="1"/>
      </top>
      <bottom style="hair">
        <color theme="1"/>
      </bottom>
      <diagonal/>
    </border>
    <border>
      <left/>
      <right style="medium">
        <color theme="1"/>
      </right>
      <top style="hair">
        <color theme="1"/>
      </top>
      <bottom style="hair">
        <color theme="1"/>
      </bottom>
      <diagonal/>
    </border>
    <border>
      <left/>
      <right style="thin">
        <color auto="1"/>
      </right>
      <top/>
      <bottom/>
      <diagonal/>
    </border>
    <border>
      <left/>
      <right style="thin">
        <color auto="1"/>
      </right>
      <top style="thin">
        <color auto="1"/>
      </top>
      <bottom style="thin">
        <color auto="1"/>
      </bottom>
      <diagonal/>
    </border>
    <border>
      <left/>
      <right/>
      <top/>
      <bottom style="thick">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theme="1"/>
      </left>
      <right style="thin">
        <color auto="1"/>
      </right>
      <top style="hair">
        <color auto="1"/>
      </top>
      <bottom style="medium">
        <color theme="1"/>
      </bottom>
      <diagonal/>
    </border>
    <border>
      <left style="thin">
        <color auto="1"/>
      </left>
      <right/>
      <top style="hair">
        <color auto="1"/>
      </top>
      <bottom style="medium">
        <color theme="1"/>
      </bottom>
      <diagonal/>
    </border>
    <border>
      <left style="thin">
        <color auto="1"/>
      </left>
      <right style="medium">
        <color auto="1"/>
      </right>
      <top style="hair">
        <color auto="1"/>
      </top>
      <bottom style="medium">
        <color theme="1"/>
      </bottom>
      <diagonal/>
    </border>
    <border>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style="thin">
        <color rgb="FF2A3237"/>
      </left>
      <right/>
      <top style="thin">
        <color rgb="FF2A3237"/>
      </top>
      <bottom style="thin">
        <color rgb="FF2A3237"/>
      </bottom>
      <diagonal/>
    </border>
    <border>
      <left/>
      <right style="thin">
        <color rgb="FF2A3237"/>
      </right>
      <top style="thin">
        <color rgb="FF2A3237"/>
      </top>
      <bottom style="thin">
        <color rgb="FF2A3237"/>
      </bottom>
      <diagonal/>
    </border>
    <border>
      <left/>
      <right/>
      <top style="thin">
        <color theme="0" tint="-0.24994659260841701"/>
      </top>
      <bottom/>
      <diagonal/>
    </border>
    <border>
      <left style="double">
        <color auto="1"/>
      </left>
      <right/>
      <top/>
      <bottom/>
      <diagonal/>
    </border>
    <border>
      <left/>
      <right style="thin">
        <color auto="1"/>
      </right>
      <top style="medium">
        <color auto="1"/>
      </top>
      <bottom/>
      <diagonal/>
    </border>
    <border>
      <left/>
      <right/>
      <top style="medium">
        <color auto="1"/>
      </top>
      <bottom style="hair">
        <color auto="1"/>
      </bottom>
      <diagonal/>
    </border>
    <border>
      <left/>
      <right style="medium">
        <color auto="1"/>
      </right>
      <top style="hair">
        <color auto="1"/>
      </top>
      <bottom style="medium">
        <color auto="1"/>
      </bottom>
      <diagonal/>
    </border>
    <border>
      <left style="thin">
        <color auto="1"/>
      </left>
      <right style="thin">
        <color auto="1"/>
      </right>
      <top style="thin">
        <color auto="1"/>
      </top>
      <bottom style="double">
        <color indexed="64"/>
      </bottom>
      <diagonal/>
    </border>
    <border>
      <left/>
      <right/>
      <top/>
      <bottom style="thin">
        <color theme="0" tint="-0.24994659260841701"/>
      </bottom>
      <diagonal/>
    </border>
    <border>
      <left style="medium">
        <color auto="1"/>
      </left>
      <right style="medium">
        <color auto="1"/>
      </right>
      <top style="medium">
        <color auto="1"/>
      </top>
      <bottom style="medium">
        <color auto="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rgb="FF2A3237"/>
      </left>
      <right/>
      <top/>
      <bottom style="thin">
        <color rgb="FF2A3237"/>
      </bottom>
      <diagonal/>
    </border>
    <border>
      <left/>
      <right/>
      <top/>
      <bottom style="thin">
        <color rgb="FF2A3237"/>
      </bottom>
      <diagonal/>
    </border>
    <border>
      <left/>
      <right/>
      <top style="thick">
        <color auto="1"/>
      </top>
      <bottom/>
      <diagonal/>
    </border>
    <border>
      <left style="thin">
        <color theme="0" tint="-0.24994659260841701"/>
      </left>
      <right/>
      <top/>
      <bottom/>
      <diagonal/>
    </border>
    <border>
      <left/>
      <right style="thin">
        <color theme="0" tint="-0.24994659260841701"/>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n">
        <color auto="1"/>
      </right>
      <top style="hair">
        <color auto="1"/>
      </top>
      <bottom style="hair">
        <color auto="1"/>
      </bottom>
      <diagonal/>
    </border>
    <border>
      <left style="thin">
        <color auto="1"/>
      </left>
      <right style="thick">
        <color auto="1"/>
      </right>
      <top style="hair">
        <color auto="1"/>
      </top>
      <bottom style="hair">
        <color auto="1"/>
      </bottom>
      <diagonal/>
    </border>
    <border>
      <left style="thick">
        <color auto="1"/>
      </left>
      <right/>
      <top style="hair">
        <color auto="1"/>
      </top>
      <bottom style="hair">
        <color auto="1"/>
      </bottom>
      <diagonal/>
    </border>
    <border>
      <left/>
      <right style="thick">
        <color auto="1"/>
      </right>
      <top style="hair">
        <color auto="1"/>
      </top>
      <bottom style="hair">
        <color auto="1"/>
      </bottom>
      <diagonal/>
    </border>
    <border>
      <left style="thick">
        <color auto="1"/>
      </left>
      <right style="thin">
        <color auto="1"/>
      </right>
      <top/>
      <bottom/>
      <diagonal/>
    </border>
    <border>
      <left style="thick">
        <color auto="1"/>
      </left>
      <right/>
      <top/>
      <bottom style="thick">
        <color auto="1"/>
      </bottom>
      <diagonal/>
    </border>
    <border>
      <left/>
      <right style="thick">
        <color auto="1"/>
      </right>
      <top/>
      <bottom style="thick">
        <color auto="1"/>
      </bottom>
      <diagonal/>
    </border>
    <border>
      <left style="thin">
        <color rgb="FF2A3237"/>
      </left>
      <right/>
      <top/>
      <bottom/>
      <diagonal/>
    </border>
    <border>
      <left style="thin">
        <color auto="1"/>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thin">
        <color auto="1"/>
      </left>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medium">
        <color indexed="64"/>
      </right>
      <top style="medium">
        <color indexed="64"/>
      </top>
      <bottom style="thin">
        <color theme="4" tint="0.39997558519241921"/>
      </bottom>
      <diagonal/>
    </border>
    <border>
      <left/>
      <right style="hair">
        <color auto="1"/>
      </right>
      <top/>
      <bottom style="hair">
        <color auto="1"/>
      </bottom>
      <diagonal/>
    </border>
    <border>
      <left style="hair">
        <color auto="1"/>
      </left>
      <right style="hair">
        <color auto="1"/>
      </right>
      <top/>
      <bottom style="hair">
        <color auto="1"/>
      </bottom>
      <diagonal/>
    </border>
    <border>
      <left/>
      <right style="thin">
        <color auto="1"/>
      </right>
      <top style="hair">
        <color auto="1"/>
      </top>
      <bottom style="thin">
        <color auto="1"/>
      </bottom>
      <diagonal/>
    </border>
    <border>
      <left style="thin">
        <color auto="1"/>
      </left>
      <right/>
      <top style="hair">
        <color auto="1"/>
      </top>
      <bottom style="thin">
        <color indexed="64"/>
      </bottom>
      <diagonal/>
    </border>
    <border>
      <left/>
      <right/>
      <top style="thin">
        <color auto="1"/>
      </top>
      <bottom style="hair">
        <color auto="1"/>
      </bottom>
      <diagonal/>
    </border>
  </borders>
  <cellStyleXfs count="9">
    <xf numFmtId="0" fontId="0" fillId="0" borderId="0"/>
    <xf numFmtId="0" fontId="2" fillId="3" borderId="2" applyNumberFormat="0" applyAlignment="0" applyProtection="0"/>
    <xf numFmtId="0" fontId="18"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0" fontId="21" fillId="9" borderId="107" applyNumberFormat="0" applyAlignment="0" applyProtection="0"/>
    <xf numFmtId="0" fontId="31" fillId="9" borderId="2" applyNumberFormat="0" applyAlignment="0" applyProtection="0"/>
    <xf numFmtId="0" fontId="56" fillId="0" borderId="0" applyNumberFormat="0" applyFill="0" applyBorder="0" applyAlignment="0" applyProtection="0"/>
  </cellStyleXfs>
  <cellXfs count="818">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1" fillId="4" borderId="11" xfId="0" applyFont="1" applyFill="1" applyBorder="1"/>
    <xf numFmtId="0" fontId="1" fillId="4" borderId="12" xfId="0" applyFont="1" applyFill="1" applyBorder="1" applyAlignment="1">
      <alignment horizontal="center"/>
    </xf>
    <xf numFmtId="0" fontId="1" fillId="4" borderId="13" xfId="0" applyFont="1" applyFill="1" applyBorder="1" applyAlignment="1">
      <alignment horizontal="center"/>
    </xf>
    <xf numFmtId="0" fontId="0" fillId="0" borderId="14" xfId="0" applyBorder="1"/>
    <xf numFmtId="0" fontId="0" fillId="0" borderId="15" xfId="0" applyBorder="1"/>
    <xf numFmtId="0" fontId="0" fillId="0" borderId="15" xfId="0" applyBorder="1" applyAlignment="1">
      <alignment horizontal="center"/>
    </xf>
    <xf numFmtId="0" fontId="0" fillId="0" borderId="16" xfId="0" applyBorder="1"/>
    <xf numFmtId="0" fontId="0" fillId="0" borderId="17" xfId="0" applyBorder="1"/>
    <xf numFmtId="0" fontId="0" fillId="0" borderId="18" xfId="0" applyBorder="1"/>
    <xf numFmtId="0" fontId="0" fillId="0" borderId="18" xfId="0" applyBorder="1" applyAlignment="1">
      <alignment horizontal="center"/>
    </xf>
    <xf numFmtId="0" fontId="0" fillId="0" borderId="20" xfId="0" applyBorder="1"/>
    <xf numFmtId="0" fontId="0" fillId="0" borderId="21" xfId="0" applyBorder="1"/>
    <xf numFmtId="0" fontId="0" fillId="0" borderId="21" xfId="0" applyBorder="1" applyAlignment="1">
      <alignment horizontal="center"/>
    </xf>
    <xf numFmtId="0" fontId="0" fillId="0" borderId="22" xfId="0" applyBorder="1"/>
    <xf numFmtId="0" fontId="1" fillId="5" borderId="23" xfId="0" applyFont="1" applyFill="1" applyBorder="1" applyAlignment="1">
      <alignment horizontal="center"/>
    </xf>
    <xf numFmtId="0" fontId="1" fillId="4" borderId="24" xfId="0" applyFont="1" applyFill="1"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0" fillId="0" borderId="6" xfId="0" applyBorder="1" applyAlignment="1">
      <alignment horizontal="center"/>
    </xf>
    <xf numFmtId="0" fontId="1" fillId="4" borderId="11" xfId="0" applyFont="1" applyFill="1" applyBorder="1" applyAlignment="1">
      <alignment horizontal="center"/>
    </xf>
    <xf numFmtId="0" fontId="1" fillId="4" borderId="30" xfId="0" applyFont="1" applyFill="1" applyBorder="1" applyAlignment="1">
      <alignment horizontal="center"/>
    </xf>
    <xf numFmtId="0" fontId="1" fillId="4" borderId="32" xfId="0" applyFont="1" applyFill="1" applyBorder="1" applyAlignment="1">
      <alignment horizontal="center"/>
    </xf>
    <xf numFmtId="11" fontId="0" fillId="0" borderId="15" xfId="0" applyNumberFormat="1"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39" xfId="0" applyBorder="1"/>
    <xf numFmtId="0" fontId="0" fillId="0" borderId="31" xfId="0" applyBorder="1"/>
    <xf numFmtId="0" fontId="0" fillId="0" borderId="31" xfId="0" applyBorder="1" applyAlignment="1">
      <alignment horizontal="center"/>
    </xf>
    <xf numFmtId="0" fontId="0" fillId="0" borderId="41" xfId="0" applyBorder="1"/>
    <xf numFmtId="0" fontId="0" fillId="0" borderId="42" xfId="0" applyBorder="1"/>
    <xf numFmtId="0" fontId="0" fillId="0" borderId="42" xfId="0" applyBorder="1" applyAlignment="1">
      <alignment horizontal="center"/>
    </xf>
    <xf numFmtId="0" fontId="0" fillId="0" borderId="43" xfId="0" applyBorder="1"/>
    <xf numFmtId="2" fontId="0" fillId="0" borderId="42" xfId="0" applyNumberFormat="1" applyBorder="1" applyAlignment="1">
      <alignment horizontal="center"/>
    </xf>
    <xf numFmtId="1" fontId="0" fillId="0" borderId="19" xfId="0" applyNumberFormat="1" applyBorder="1" applyAlignment="1">
      <alignment horizontal="center"/>
    </xf>
    <xf numFmtId="2" fontId="0" fillId="0" borderId="31" xfId="0" applyNumberFormat="1" applyBorder="1" applyAlignment="1">
      <alignment horizontal="center"/>
    </xf>
    <xf numFmtId="2" fontId="10" fillId="0" borderId="0" xfId="0" applyNumberFormat="1" applyFont="1" applyAlignment="1">
      <alignment horizontal="center"/>
    </xf>
    <xf numFmtId="0" fontId="10" fillId="0" borderId="0" xfId="0" applyFont="1"/>
    <xf numFmtId="0" fontId="10" fillId="0" borderId="0" xfId="0" applyFont="1" applyAlignment="1">
      <alignment horizontal="center"/>
    </xf>
    <xf numFmtId="2" fontId="10" fillId="0" borderId="47" xfId="0" applyNumberFormat="1" applyFont="1" applyBorder="1" applyAlignment="1">
      <alignment horizontal="center" wrapText="1"/>
    </xf>
    <xf numFmtId="0" fontId="10" fillId="0" borderId="48" xfId="0" applyFont="1" applyBorder="1" applyAlignment="1">
      <alignment horizontal="center"/>
    </xf>
    <xf numFmtId="0" fontId="12" fillId="0" borderId="0" xfId="0" applyFont="1" applyAlignment="1">
      <alignment horizontal="center"/>
    </xf>
    <xf numFmtId="0" fontId="10" fillId="0" borderId="0" xfId="0" applyFont="1" applyAlignment="1">
      <alignment vertical="center"/>
    </xf>
    <xf numFmtId="0" fontId="10" fillId="0" borderId="46" xfId="0" applyFont="1" applyBorder="1" applyAlignment="1">
      <alignment vertical="center"/>
    </xf>
    <xf numFmtId="0" fontId="10" fillId="4" borderId="54"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4" borderId="67" xfId="0" applyFont="1" applyFill="1" applyBorder="1" applyAlignment="1">
      <alignment horizontal="center" vertical="center" wrapText="1"/>
    </xf>
    <xf numFmtId="0" fontId="11" fillId="0" borderId="0" xfId="0" applyFont="1" applyAlignment="1">
      <alignment horizontal="center" vertical="center" wrapText="1"/>
    </xf>
    <xf numFmtId="2" fontId="11" fillId="6" borderId="8" xfId="0" applyNumberFormat="1" applyFont="1" applyFill="1" applyBorder="1" applyAlignment="1">
      <alignment horizontal="center"/>
    </xf>
    <xf numFmtId="0" fontId="10" fillId="0" borderId="46" xfId="0" applyFont="1" applyBorder="1"/>
    <xf numFmtId="2" fontId="10" fillId="6" borderId="56" xfId="0" applyNumberFormat="1" applyFont="1" applyFill="1" applyBorder="1" applyAlignment="1">
      <alignment horizontal="center"/>
    </xf>
    <xf numFmtId="2" fontId="10" fillId="6" borderId="57" xfId="0" applyNumberFormat="1" applyFont="1" applyFill="1" applyBorder="1" applyAlignment="1">
      <alignment horizontal="center"/>
    </xf>
    <xf numFmtId="2" fontId="10" fillId="6" borderId="64" xfId="0" applyNumberFormat="1" applyFont="1" applyFill="1" applyBorder="1" applyAlignment="1">
      <alignment horizontal="center"/>
    </xf>
    <xf numFmtId="2" fontId="11" fillId="0" borderId="11" xfId="0" applyNumberFormat="1" applyFont="1" applyBorder="1" applyAlignment="1">
      <alignment horizontal="center"/>
    </xf>
    <xf numFmtId="2" fontId="10" fillId="0" borderId="59" xfId="0" applyNumberFormat="1" applyFont="1" applyBorder="1" applyAlignment="1">
      <alignment horizontal="center"/>
    </xf>
    <xf numFmtId="2" fontId="10" fillId="0" borderId="60" xfId="0" applyNumberFormat="1" applyFont="1" applyBorder="1" applyAlignment="1">
      <alignment horizontal="center"/>
    </xf>
    <xf numFmtId="2" fontId="10" fillId="0" borderId="58" xfId="0" applyNumberFormat="1" applyFont="1" applyBorder="1" applyAlignment="1">
      <alignment horizontal="center"/>
    </xf>
    <xf numFmtId="2" fontId="10" fillId="6" borderId="59" xfId="0" applyNumberFormat="1" applyFont="1" applyFill="1" applyBorder="1" applyAlignment="1">
      <alignment horizontal="center"/>
    </xf>
    <xf numFmtId="2" fontId="10" fillId="6" borderId="60" xfId="0" applyNumberFormat="1" applyFont="1" applyFill="1" applyBorder="1" applyAlignment="1">
      <alignment horizontal="center"/>
    </xf>
    <xf numFmtId="2" fontId="10" fillId="6" borderId="58" xfId="0" applyNumberFormat="1" applyFont="1" applyFill="1" applyBorder="1" applyAlignment="1">
      <alignment horizontal="center"/>
    </xf>
    <xf numFmtId="2" fontId="10" fillId="6" borderId="65" xfId="0" applyNumberFormat="1" applyFont="1" applyFill="1" applyBorder="1" applyAlignment="1">
      <alignment horizontal="center"/>
    </xf>
    <xf numFmtId="2" fontId="10" fillId="0" borderId="62" xfId="0" applyNumberFormat="1" applyFont="1" applyBorder="1" applyAlignment="1">
      <alignment horizontal="center"/>
    </xf>
    <xf numFmtId="2" fontId="10" fillId="0" borderId="63" xfId="0" applyNumberFormat="1" applyFont="1" applyBorder="1" applyAlignment="1">
      <alignment horizontal="center"/>
    </xf>
    <xf numFmtId="2" fontId="10" fillId="0" borderId="61" xfId="0" applyNumberFormat="1" applyFont="1" applyBorder="1" applyAlignment="1">
      <alignment horizontal="center"/>
    </xf>
    <xf numFmtId="2" fontId="12" fillId="0" borderId="0" xfId="0" applyNumberFormat="1" applyFont="1" applyAlignment="1">
      <alignment horizontal="center"/>
    </xf>
    <xf numFmtId="0" fontId="12" fillId="0" borderId="0" xfId="0" applyFont="1"/>
    <xf numFmtId="0" fontId="15" fillId="0" borderId="0" xfId="0" applyFont="1"/>
    <xf numFmtId="2" fontId="0" fillId="0" borderId="18" xfId="0" applyNumberFormat="1" applyBorder="1" applyAlignment="1">
      <alignment horizontal="center"/>
    </xf>
    <xf numFmtId="0" fontId="10" fillId="0" borderId="6" xfId="0" applyFont="1" applyBorder="1" applyAlignment="1">
      <alignment vertical="center"/>
    </xf>
    <xf numFmtId="0" fontId="10" fillId="0" borderId="6" xfId="0" applyFont="1" applyBorder="1"/>
    <xf numFmtId="0" fontId="14" fillId="0" borderId="46" xfId="0" applyFont="1" applyBorder="1" applyAlignment="1">
      <alignment vertical="center"/>
    </xf>
    <xf numFmtId="0" fontId="14" fillId="0" borderId="6" xfId="0" applyFont="1" applyBorder="1" applyAlignment="1">
      <alignment vertical="center"/>
    </xf>
    <xf numFmtId="0" fontId="14" fillId="0" borderId="0" xfId="0" applyFont="1" applyAlignment="1">
      <alignment vertical="center"/>
    </xf>
    <xf numFmtId="0" fontId="13" fillId="0" borderId="0" xfId="0" applyFont="1" applyAlignment="1">
      <alignment horizontal="center" vertical="center"/>
    </xf>
    <xf numFmtId="0" fontId="4" fillId="0" borderId="0" xfId="0" applyFont="1"/>
    <xf numFmtId="0" fontId="4" fillId="0" borderId="0" xfId="0" applyFont="1" applyAlignment="1">
      <alignment horizontal="left"/>
    </xf>
    <xf numFmtId="0" fontId="4" fillId="0" borderId="17" xfId="0" applyFont="1" applyBorder="1"/>
    <xf numFmtId="0" fontId="4" fillId="0" borderId="19" xfId="0" applyFont="1" applyBorder="1" applyAlignment="1">
      <alignment horizontal="left"/>
    </xf>
    <xf numFmtId="2" fontId="4" fillId="0" borderId="18" xfId="0" applyNumberFormat="1" applyFont="1" applyBorder="1" applyAlignment="1">
      <alignment horizontal="center"/>
    </xf>
    <xf numFmtId="0" fontId="4" fillId="0" borderId="14" xfId="0" applyFont="1" applyBorder="1"/>
    <xf numFmtId="0" fontId="4" fillId="0" borderId="15" xfId="0" applyFont="1" applyBorder="1" applyAlignment="1">
      <alignment horizontal="center"/>
    </xf>
    <xf numFmtId="0" fontId="4" fillId="0" borderId="16" xfId="0" applyFont="1" applyBorder="1" applyAlignment="1">
      <alignment horizontal="left"/>
    </xf>
    <xf numFmtId="0" fontId="4" fillId="0" borderId="18" xfId="0" applyFont="1" applyBorder="1" applyAlignment="1">
      <alignment horizontal="center"/>
    </xf>
    <xf numFmtId="0" fontId="4" fillId="0" borderId="39" xfId="0" applyFont="1" applyBorder="1"/>
    <xf numFmtId="0" fontId="4" fillId="0" borderId="40" xfId="0" applyFont="1" applyBorder="1" applyAlignment="1">
      <alignment horizontal="left"/>
    </xf>
    <xf numFmtId="0" fontId="4" fillId="0" borderId="71" xfId="0" applyFont="1" applyBorder="1"/>
    <xf numFmtId="0" fontId="4" fillId="0" borderId="71" xfId="0" applyFont="1" applyBorder="1" applyAlignment="1">
      <alignment horizontal="left"/>
    </xf>
    <xf numFmtId="0" fontId="0" fillId="0" borderId="19" xfId="0" applyBorder="1" applyAlignment="1">
      <alignment horizontal="left"/>
    </xf>
    <xf numFmtId="165" fontId="4" fillId="0" borderId="18" xfId="0" applyNumberFormat="1" applyFont="1" applyBorder="1" applyAlignment="1">
      <alignment horizontal="center"/>
    </xf>
    <xf numFmtId="0" fontId="4" fillId="0" borderId="77" xfId="0" applyFont="1" applyBorder="1"/>
    <xf numFmtId="0" fontId="4" fillId="0" borderId="79" xfId="0" applyFont="1" applyBorder="1" applyAlignment="1">
      <alignment horizontal="left"/>
    </xf>
    <xf numFmtId="0" fontId="4" fillId="0" borderId="84" xfId="0" applyFont="1" applyBorder="1"/>
    <xf numFmtId="0" fontId="4" fillId="0" borderId="84" xfId="0" applyFont="1" applyBorder="1" applyAlignment="1">
      <alignment horizontal="left"/>
    </xf>
    <xf numFmtId="1" fontId="4" fillId="0" borderId="18" xfId="0" applyNumberFormat="1" applyFont="1" applyBorder="1" applyAlignment="1">
      <alignment horizontal="center"/>
    </xf>
    <xf numFmtId="2" fontId="4" fillId="0" borderId="78" xfId="0" applyNumberFormat="1" applyFont="1" applyBorder="1" applyAlignment="1">
      <alignment horizontal="center"/>
    </xf>
    <xf numFmtId="2" fontId="4" fillId="0" borderId="0" xfId="0" applyNumberFormat="1" applyFont="1" applyAlignment="1">
      <alignment horizontal="center"/>
    </xf>
    <xf numFmtId="0" fontId="0" fillId="0" borderId="40" xfId="0" applyBorder="1" applyAlignment="1">
      <alignment horizontal="center"/>
    </xf>
    <xf numFmtId="2" fontId="1" fillId="4" borderId="6" xfId="0" applyNumberFormat="1" applyFont="1" applyFill="1" applyBorder="1" applyAlignment="1">
      <alignment horizontal="center" vertical="center" wrapText="1"/>
    </xf>
    <xf numFmtId="0" fontId="1" fillId="4" borderId="44" xfId="0" applyFont="1" applyFill="1" applyBorder="1" applyAlignment="1">
      <alignment horizontal="center" vertical="center" wrapText="1"/>
    </xf>
    <xf numFmtId="2" fontId="10" fillId="6" borderId="10" xfId="0" applyNumberFormat="1" applyFont="1" applyFill="1" applyBorder="1" applyAlignment="1">
      <alignment horizontal="center"/>
    </xf>
    <xf numFmtId="2" fontId="10" fillId="6" borderId="13" xfId="0" applyNumberFormat="1" applyFont="1" applyFill="1" applyBorder="1" applyAlignment="1">
      <alignment horizontal="center"/>
    </xf>
    <xf numFmtId="0" fontId="0" fillId="4" borderId="45" xfId="0" applyFill="1" applyBorder="1" applyAlignment="1">
      <alignment horizontal="center" vertical="center" wrapText="1"/>
    </xf>
    <xf numFmtId="0" fontId="11" fillId="0" borderId="0" xfId="0" applyFont="1" applyAlignment="1">
      <alignment horizontal="center"/>
    </xf>
    <xf numFmtId="2" fontId="10" fillId="0" borderId="56" xfId="0" applyNumberFormat="1" applyFont="1" applyBorder="1" applyAlignment="1">
      <alignment horizontal="center"/>
    </xf>
    <xf numFmtId="0" fontId="8" fillId="0" borderId="0" xfId="0" applyFont="1" applyAlignment="1">
      <alignment horizontal="left"/>
    </xf>
    <xf numFmtId="0" fontId="0" fillId="0" borderId="0" xfId="0" applyAlignment="1">
      <alignment vertical="center"/>
    </xf>
    <xf numFmtId="0" fontId="1" fillId="5" borderId="0" xfId="0" applyFont="1" applyFill="1" applyAlignment="1">
      <alignment horizontal="center"/>
    </xf>
    <xf numFmtId="0" fontId="1" fillId="4" borderId="0" xfId="0" applyFont="1" applyFill="1" applyAlignment="1">
      <alignment horizontal="center"/>
    </xf>
    <xf numFmtId="0" fontId="1" fillId="0" borderId="1" xfId="0" applyFont="1" applyBorder="1" applyAlignment="1">
      <alignment horizontal="center"/>
    </xf>
    <xf numFmtId="11" fontId="0" fillId="0" borderId="42" xfId="0" applyNumberFormat="1" applyBorder="1" applyAlignment="1">
      <alignment horizontal="center"/>
    </xf>
    <xf numFmtId="0" fontId="0" fillId="4" borderId="53" xfId="0" applyFill="1" applyBorder="1" applyAlignment="1">
      <alignment horizontal="center" vertical="center" wrapText="1"/>
    </xf>
    <xf numFmtId="0" fontId="0" fillId="4" borderId="52" xfId="0" applyFill="1" applyBorder="1" applyAlignment="1">
      <alignment horizontal="center" vertical="center" wrapText="1"/>
    </xf>
    <xf numFmtId="2" fontId="10" fillId="0" borderId="0" xfId="0" applyNumberFormat="1" applyFont="1"/>
    <xf numFmtId="2" fontId="0" fillId="4" borderId="45" xfId="0" applyNumberFormat="1" applyFill="1" applyBorder="1" applyAlignment="1">
      <alignment horizontal="center" vertical="center" wrapText="1"/>
    </xf>
    <xf numFmtId="2" fontId="10" fillId="7" borderId="59" xfId="0" applyNumberFormat="1" applyFont="1" applyFill="1" applyBorder="1" applyAlignment="1">
      <alignment horizontal="center"/>
    </xf>
    <xf numFmtId="0" fontId="0" fillId="2" borderId="52" xfId="0" applyFill="1" applyBorder="1" applyAlignment="1">
      <alignment horizontal="center" vertical="center" wrapText="1"/>
    </xf>
    <xf numFmtId="0" fontId="0" fillId="4" borderId="87" xfId="0" applyFill="1" applyBorder="1" applyAlignment="1">
      <alignment horizontal="center" vertical="center" wrapText="1"/>
    </xf>
    <xf numFmtId="2" fontId="10" fillId="0" borderId="86" xfId="0" applyNumberFormat="1" applyFont="1" applyBorder="1" applyAlignment="1">
      <alignment horizontal="center"/>
    </xf>
    <xf numFmtId="2" fontId="10" fillId="0" borderId="88" xfId="0" applyNumberFormat="1" applyFont="1" applyBorder="1" applyAlignment="1">
      <alignment horizontal="center"/>
    </xf>
    <xf numFmtId="2" fontId="10" fillId="7" borderId="62" xfId="0" applyNumberFormat="1" applyFont="1" applyFill="1" applyBorder="1" applyAlignment="1">
      <alignment horizontal="center"/>
    </xf>
    <xf numFmtId="2" fontId="10" fillId="6" borderId="62" xfId="0" applyNumberFormat="1" applyFont="1" applyFill="1" applyBorder="1" applyAlignment="1">
      <alignment horizontal="center"/>
    </xf>
    <xf numFmtId="2" fontId="10" fillId="6" borderId="66" xfId="0" applyNumberFormat="1" applyFont="1" applyFill="1" applyBorder="1" applyAlignment="1">
      <alignment horizontal="center"/>
    </xf>
    <xf numFmtId="0" fontId="0" fillId="0" borderId="16" xfId="0" applyBorder="1" applyAlignment="1">
      <alignment horizontal="left"/>
    </xf>
    <xf numFmtId="0" fontId="0" fillId="0" borderId="77" xfId="0" applyBorder="1"/>
    <xf numFmtId="0" fontId="0" fillId="0" borderId="79" xfId="0" applyBorder="1" applyAlignment="1">
      <alignment horizontal="left"/>
    </xf>
    <xf numFmtId="2" fontId="4" fillId="0" borderId="31" xfId="0" applyNumberFormat="1" applyFont="1" applyBorder="1" applyAlignment="1">
      <alignment horizontal="center"/>
    </xf>
    <xf numFmtId="2" fontId="0" fillId="0" borderId="15" xfId="0" applyNumberFormat="1" applyBorder="1" applyAlignment="1">
      <alignment horizontal="center"/>
    </xf>
    <xf numFmtId="1" fontId="0" fillId="0" borderId="15" xfId="0" applyNumberFormat="1" applyBorder="1" applyAlignment="1">
      <alignment horizontal="center"/>
    </xf>
    <xf numFmtId="1" fontId="0" fillId="0" borderId="18" xfId="0" applyNumberFormat="1" applyBorder="1" applyAlignment="1">
      <alignment horizontal="center"/>
    </xf>
    <xf numFmtId="0" fontId="17" fillId="0" borderId="0" xfId="0" applyFont="1"/>
    <xf numFmtId="0" fontId="0" fillId="0" borderId="22" xfId="0" applyBorder="1" applyAlignment="1">
      <alignment horizontal="center"/>
    </xf>
    <xf numFmtId="0" fontId="0" fillId="0" borderId="94" xfId="0" applyBorder="1" applyAlignment="1">
      <alignment horizontal="center"/>
    </xf>
    <xf numFmtId="0" fontId="0" fillId="0" borderId="0" xfId="0" applyAlignment="1">
      <alignment horizontal="left"/>
    </xf>
    <xf numFmtId="2" fontId="4" fillId="0" borderId="0" xfId="0" applyNumberFormat="1" applyFont="1" applyAlignment="1">
      <alignment horizontal="left"/>
    </xf>
    <xf numFmtId="2" fontId="0" fillId="0" borderId="0" xfId="0" quotePrefix="1" applyNumberFormat="1" applyAlignment="1">
      <alignment horizontal="left"/>
    </xf>
    <xf numFmtId="4" fontId="7" fillId="0" borderId="0" xfId="0" applyNumberFormat="1" applyFont="1" applyAlignment="1">
      <alignment horizontal="left" vertical="center"/>
    </xf>
    <xf numFmtId="165" fontId="4" fillId="0" borderId="0" xfId="0" applyNumberFormat="1" applyFont="1" applyAlignment="1">
      <alignment horizontal="left"/>
    </xf>
    <xf numFmtId="2" fontId="0" fillId="0" borderId="0" xfId="0" applyNumberFormat="1" applyAlignment="1">
      <alignment horizontal="left"/>
    </xf>
    <xf numFmtId="0" fontId="0" fillId="0" borderId="95" xfId="0" applyBorder="1"/>
    <xf numFmtId="0" fontId="0" fillId="0" borderId="95" xfId="0" applyBorder="1" applyAlignment="1">
      <alignment horizontal="center"/>
    </xf>
    <xf numFmtId="2" fontId="0" fillId="0" borderId="95" xfId="0" applyNumberFormat="1" applyBorder="1" applyAlignment="1">
      <alignment horizontal="center"/>
    </xf>
    <xf numFmtId="0" fontId="1" fillId="0" borderId="0" xfId="0" applyFont="1" applyAlignment="1">
      <alignment horizontal="right"/>
    </xf>
    <xf numFmtId="0" fontId="0" fillId="0" borderId="22" xfId="0" applyBorder="1" applyAlignment="1">
      <alignment horizontal="left"/>
    </xf>
    <xf numFmtId="166" fontId="4" fillId="0" borderId="15" xfId="0" applyNumberFormat="1" applyFont="1" applyBorder="1" applyAlignment="1">
      <alignment horizontal="center"/>
    </xf>
    <xf numFmtId="0" fontId="0" fillId="4" borderId="54" xfId="0" applyFill="1" applyBorder="1" applyAlignment="1">
      <alignment horizontal="center" vertical="center" wrapText="1"/>
    </xf>
    <xf numFmtId="0" fontId="0" fillId="0" borderId="0" xfId="0" applyAlignment="1">
      <alignment horizontal="right"/>
    </xf>
    <xf numFmtId="0" fontId="13" fillId="2" borderId="0" xfId="0" applyFont="1" applyFill="1" applyAlignment="1">
      <alignment horizontal="center" vertical="center"/>
    </xf>
    <xf numFmtId="0" fontId="11" fillId="4" borderId="93" xfId="0" applyFont="1" applyFill="1" applyBorder="1" applyAlignment="1">
      <alignment horizontal="center" vertical="center" wrapText="1"/>
    </xf>
    <xf numFmtId="2" fontId="0" fillId="0" borderId="0" xfId="0" applyNumberFormat="1"/>
    <xf numFmtId="1" fontId="13" fillId="2" borderId="0" xfId="0" applyNumberFormat="1" applyFont="1" applyFill="1" applyAlignment="1">
      <alignment horizontal="center" vertical="center"/>
    </xf>
    <xf numFmtId="2" fontId="0" fillId="0" borderId="0" xfId="0" applyNumberFormat="1" applyAlignment="1">
      <alignment horizontal="center"/>
    </xf>
    <xf numFmtId="164" fontId="10" fillId="7" borderId="56" xfId="0" applyNumberFormat="1" applyFont="1" applyFill="1" applyBorder="1" applyAlignment="1">
      <alignment horizontal="center"/>
    </xf>
    <xf numFmtId="164" fontId="10" fillId="7" borderId="59" xfId="0" applyNumberFormat="1" applyFont="1" applyFill="1" applyBorder="1" applyAlignment="1">
      <alignment horizontal="center"/>
    </xf>
    <xf numFmtId="164" fontId="10" fillId="0" borderId="85" xfId="0" applyNumberFormat="1" applyFont="1" applyBorder="1" applyAlignment="1">
      <alignment horizontal="center"/>
    </xf>
    <xf numFmtId="164" fontId="10" fillId="0" borderId="86" xfId="0" applyNumberFormat="1" applyFont="1" applyBorder="1" applyAlignment="1">
      <alignment horizontal="center"/>
    </xf>
    <xf numFmtId="164" fontId="10" fillId="0" borderId="58" xfId="0" applyNumberFormat="1" applyFont="1" applyBorder="1" applyAlignment="1">
      <alignment horizontal="center"/>
    </xf>
    <xf numFmtId="164" fontId="10" fillId="6" borderId="58" xfId="0" applyNumberFormat="1" applyFont="1" applyFill="1" applyBorder="1" applyAlignment="1">
      <alignment horizontal="center"/>
    </xf>
    <xf numFmtId="167" fontId="10" fillId="0" borderId="0" xfId="0" applyNumberFormat="1" applyFont="1"/>
    <xf numFmtId="166" fontId="0" fillId="0" borderId="31" xfId="0" applyNumberFormat="1" applyBorder="1" applyAlignment="1">
      <alignment horizontal="center"/>
    </xf>
    <xf numFmtId="1" fontId="4" fillId="0" borderId="15" xfId="0" applyNumberFormat="1" applyFont="1" applyBorder="1" applyAlignment="1">
      <alignment horizontal="center"/>
    </xf>
    <xf numFmtId="2" fontId="4" fillId="0" borderId="71" xfId="0" applyNumberFormat="1" applyFont="1" applyBorder="1" applyAlignment="1">
      <alignment horizontal="center"/>
    </xf>
    <xf numFmtId="2" fontId="0" fillId="0" borderId="26" xfId="0" applyNumberFormat="1" applyBorder="1" applyAlignment="1">
      <alignment horizontal="center"/>
    </xf>
    <xf numFmtId="2" fontId="0" fillId="0" borderId="99" xfId="0" applyNumberFormat="1" applyBorder="1" applyAlignment="1">
      <alignment horizontal="center"/>
    </xf>
    <xf numFmtId="0" fontId="4" fillId="0" borderId="97" xfId="0" applyFont="1" applyBorder="1"/>
    <xf numFmtId="0" fontId="0" fillId="0" borderId="33" xfId="0" applyBorder="1" applyAlignment="1">
      <alignment vertical="center"/>
    </xf>
    <xf numFmtId="0" fontId="2" fillId="3" borderId="80" xfId="1" applyBorder="1" applyAlignment="1" applyProtection="1">
      <alignment horizontal="center" vertical="center"/>
    </xf>
    <xf numFmtId="0" fontId="0" fillId="0" borderId="81" xfId="0" applyBorder="1" applyAlignment="1">
      <alignment horizontal="left" vertical="center"/>
    </xf>
    <xf numFmtId="0" fontId="4" fillId="0" borderId="0" xfId="0" applyFont="1" applyAlignment="1">
      <alignment vertical="center"/>
    </xf>
    <xf numFmtId="164" fontId="0" fillId="2" borderId="18" xfId="0" applyNumberFormat="1" applyFill="1" applyBorder="1" applyAlignment="1">
      <alignment horizontal="center"/>
    </xf>
    <xf numFmtId="1" fontId="0" fillId="2" borderId="18" xfId="0" applyNumberFormat="1" applyFill="1" applyBorder="1" applyAlignment="1">
      <alignment horizontal="center"/>
    </xf>
    <xf numFmtId="1" fontId="0" fillId="0" borderId="0" xfId="0" applyNumberFormat="1" applyAlignment="1">
      <alignment horizontal="center"/>
    </xf>
    <xf numFmtId="1" fontId="6" fillId="8" borderId="80" xfId="1" applyNumberFormat="1" applyFont="1" applyFill="1" applyBorder="1" applyAlignment="1" applyProtection="1">
      <alignment horizontal="center"/>
    </xf>
    <xf numFmtId="0" fontId="0" fillId="0" borderId="43" xfId="0" applyBorder="1" applyAlignment="1">
      <alignment horizontal="center"/>
    </xf>
    <xf numFmtId="0" fontId="0" fillId="0" borderId="82" xfId="0" applyBorder="1" applyAlignment="1">
      <alignment vertical="center"/>
    </xf>
    <xf numFmtId="0" fontId="0" fillId="0" borderId="83" xfId="0" applyBorder="1" applyAlignment="1">
      <alignment horizontal="left" vertical="center"/>
    </xf>
    <xf numFmtId="0" fontId="0" fillId="2" borderId="18" xfId="0" applyFill="1" applyBorder="1"/>
    <xf numFmtId="0" fontId="1" fillId="4" borderId="44" xfId="0" applyFont="1" applyFill="1" applyBorder="1" applyAlignment="1">
      <alignment horizontal="center"/>
    </xf>
    <xf numFmtId="0" fontId="1" fillId="5" borderId="44" xfId="0" applyFont="1" applyFill="1" applyBorder="1" applyAlignment="1">
      <alignment horizontal="center"/>
    </xf>
    <xf numFmtId="0" fontId="0" fillId="0" borderId="40" xfId="0" applyBorder="1" applyAlignment="1">
      <alignment horizontal="left"/>
    </xf>
    <xf numFmtId="0" fontId="0" fillId="0" borderId="90" xfId="0" applyBorder="1" applyAlignment="1">
      <alignment vertical="center"/>
    </xf>
    <xf numFmtId="0" fontId="0" fillId="0" borderId="100" xfId="0" applyBorder="1" applyAlignment="1">
      <alignment horizontal="left" vertical="center"/>
    </xf>
    <xf numFmtId="1" fontId="0" fillId="0" borderId="0" xfId="0" applyNumberFormat="1" applyAlignment="1">
      <alignment horizontal="center" vertical="center"/>
    </xf>
    <xf numFmtId="0" fontId="1" fillId="0" borderId="0" xfId="0" applyFont="1"/>
    <xf numFmtId="0" fontId="4" fillId="0" borderId="0" xfId="0" applyFont="1" applyAlignment="1">
      <alignment horizontal="center"/>
    </xf>
    <xf numFmtId="0" fontId="5" fillId="4" borderId="5" xfId="0" applyFont="1" applyFill="1" applyBorder="1" applyAlignment="1">
      <alignment horizontal="center"/>
    </xf>
    <xf numFmtId="0" fontId="0" fillId="0" borderId="17" xfId="0" applyBorder="1" applyAlignment="1">
      <alignment vertical="center"/>
    </xf>
    <xf numFmtId="0" fontId="4" fillId="0" borderId="18" xfId="0" applyFont="1" applyBorder="1" applyAlignment="1">
      <alignment horizontal="center" vertical="center"/>
    </xf>
    <xf numFmtId="0" fontId="4" fillId="0" borderId="19" xfId="0" applyFont="1" applyBorder="1" applyAlignment="1">
      <alignment horizontal="left" vertical="center"/>
    </xf>
    <xf numFmtId="0" fontId="4" fillId="0" borderId="97" xfId="0" applyFont="1" applyBorder="1" applyAlignment="1">
      <alignment horizontal="left"/>
    </xf>
    <xf numFmtId="0" fontId="4" fillId="0" borderId="7" xfId="0" applyFont="1" applyBorder="1"/>
    <xf numFmtId="2" fontId="4" fillId="0" borderId="7" xfId="0" applyNumberFormat="1" applyFont="1" applyBorder="1" applyAlignment="1">
      <alignment horizontal="center"/>
    </xf>
    <xf numFmtId="0" fontId="4" fillId="0" borderId="7" xfId="0" applyFont="1" applyBorder="1" applyAlignment="1">
      <alignment horizontal="left"/>
    </xf>
    <xf numFmtId="2" fontId="4" fillId="2" borderId="0" xfId="0" applyNumberFormat="1" applyFont="1" applyFill="1" applyAlignment="1">
      <alignment horizontal="center"/>
    </xf>
    <xf numFmtId="0" fontId="18" fillId="0" borderId="0" xfId="0" applyFont="1"/>
    <xf numFmtId="166" fontId="18" fillId="0" borderId="0" xfId="0" applyNumberFormat="1" applyFont="1"/>
    <xf numFmtId="2" fontId="18" fillId="0" borderId="0" xfId="0" applyNumberFormat="1" applyFont="1"/>
    <xf numFmtId="0" fontId="18" fillId="0" borderId="1" xfId="0" applyFont="1" applyBorder="1"/>
    <xf numFmtId="0" fontId="20" fillId="0" borderId="1" xfId="0" applyFont="1" applyBorder="1"/>
    <xf numFmtId="0" fontId="0" fillId="0" borderId="101" xfId="0" applyBorder="1"/>
    <xf numFmtId="0" fontId="0" fillId="0" borderId="102" xfId="0" applyBorder="1"/>
    <xf numFmtId="1" fontId="0" fillId="0" borderId="94" xfId="0" applyNumberFormat="1" applyBorder="1" applyAlignment="1">
      <alignment horizontal="center"/>
    </xf>
    <xf numFmtId="0" fontId="1" fillId="4" borderId="103" xfId="0" applyFont="1" applyFill="1" applyBorder="1" applyAlignment="1">
      <alignment horizontal="center"/>
    </xf>
    <xf numFmtId="0" fontId="1" fillId="4" borderId="104" xfId="0" applyFont="1" applyFill="1" applyBorder="1" applyAlignment="1">
      <alignment horizontal="center"/>
    </xf>
    <xf numFmtId="0" fontId="1" fillId="4" borderId="98" xfId="0" applyFont="1" applyFill="1" applyBorder="1" applyAlignment="1">
      <alignment horizontal="center"/>
    </xf>
    <xf numFmtId="0" fontId="1" fillId="0" borderId="0" xfId="0" applyFont="1" applyAlignment="1">
      <alignment horizontal="right" vertical="center"/>
    </xf>
    <xf numFmtId="164" fontId="0" fillId="0" borderId="0" xfId="0" applyNumberFormat="1" applyAlignment="1">
      <alignment horizontal="center"/>
    </xf>
    <xf numFmtId="0" fontId="16" fillId="0" borderId="0" xfId="0" applyFont="1"/>
    <xf numFmtId="0" fontId="16" fillId="0" borderId="0" xfId="0" applyFont="1" applyAlignment="1">
      <alignment horizontal="center"/>
    </xf>
    <xf numFmtId="0" fontId="16" fillId="5" borderId="0" xfId="0" applyFont="1" applyFill="1" applyAlignment="1">
      <alignment horizontal="center"/>
    </xf>
    <xf numFmtId="0" fontId="22" fillId="0" borderId="0" xfId="0" applyFont="1"/>
    <xf numFmtId="0" fontId="9" fillId="10" borderId="70" xfId="0" applyFont="1" applyFill="1" applyBorder="1" applyAlignment="1">
      <alignment horizontal="center" vertical="center"/>
    </xf>
    <xf numFmtId="0" fontId="9" fillId="10" borderId="71" xfId="0" applyFont="1" applyFill="1" applyBorder="1" applyAlignment="1">
      <alignment horizontal="center" vertical="center" wrapText="1"/>
    </xf>
    <xf numFmtId="0" fontId="9" fillId="10" borderId="72" xfId="0" applyFont="1" applyFill="1" applyBorder="1" applyAlignment="1">
      <alignment horizontal="center" vertical="center" wrapText="1"/>
    </xf>
    <xf numFmtId="0" fontId="8" fillId="0" borderId="70" xfId="0" applyFont="1" applyBorder="1" applyAlignment="1">
      <alignment horizontal="center" vertical="center"/>
    </xf>
    <xf numFmtId="2" fontId="2" fillId="3" borderId="80" xfId="1" applyNumberFormat="1" applyBorder="1" applyAlignment="1" applyProtection="1">
      <alignment horizontal="center" vertical="center"/>
    </xf>
    <xf numFmtId="0" fontId="0" fillId="0" borderId="19" xfId="0" applyBorder="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166" fontId="0" fillId="0" borderId="0" xfId="0" applyNumberFormat="1" applyAlignment="1">
      <alignment horizontal="center"/>
    </xf>
    <xf numFmtId="2" fontId="4" fillId="0" borderId="18" xfId="0" applyNumberFormat="1" applyFont="1" applyBorder="1" applyAlignment="1">
      <alignment horizontal="center" vertical="center"/>
    </xf>
    <xf numFmtId="0" fontId="0" fillId="0" borderId="0" xfId="0" applyAlignment="1">
      <alignment horizontal="right" vertical="center"/>
    </xf>
    <xf numFmtId="1" fontId="0" fillId="0" borderId="44" xfId="0" applyNumberFormat="1" applyBorder="1" applyAlignment="1">
      <alignment horizontal="center"/>
    </xf>
    <xf numFmtId="1" fontId="4" fillId="0" borderId="21" xfId="0" applyNumberFormat="1" applyFont="1" applyBorder="1" applyAlignment="1">
      <alignment horizontal="center"/>
    </xf>
    <xf numFmtId="0" fontId="19" fillId="0" borderId="0" xfId="0" applyFont="1"/>
    <xf numFmtId="0" fontId="23" fillId="0" borderId="0" xfId="0" applyFont="1" applyAlignment="1">
      <alignment horizontal="center" vertical="center"/>
    </xf>
    <xf numFmtId="165" fontId="24" fillId="0" borderId="108" xfId="0" applyNumberFormat="1" applyFont="1" applyBorder="1" applyAlignment="1">
      <alignment horizontal="center" vertical="center"/>
    </xf>
    <xf numFmtId="165" fontId="24" fillId="0" borderId="109" xfId="0" applyNumberFormat="1" applyFont="1" applyBorder="1" applyAlignment="1">
      <alignment horizontal="center" vertical="center"/>
    </xf>
    <xf numFmtId="165" fontId="24" fillId="0" borderId="110" xfId="0" applyNumberFormat="1" applyFont="1" applyBorder="1" applyAlignment="1">
      <alignment horizontal="center" vertical="center"/>
    </xf>
    <xf numFmtId="0" fontId="25" fillId="0" borderId="91" xfId="0" applyFont="1" applyBorder="1" applyAlignment="1">
      <alignment horizontal="center" vertical="center"/>
    </xf>
    <xf numFmtId="0" fontId="14" fillId="0" borderId="114" xfId="0" applyFont="1" applyBorder="1" applyAlignment="1">
      <alignment horizontal="center" vertical="center"/>
    </xf>
    <xf numFmtId="165" fontId="24" fillId="0" borderId="115" xfId="0" applyNumberFormat="1" applyFont="1" applyBorder="1" applyAlignment="1">
      <alignment horizontal="center" vertical="center"/>
    </xf>
    <xf numFmtId="1" fontId="14" fillId="0" borderId="18" xfId="0" applyNumberFormat="1" applyFont="1" applyBorder="1" applyAlignment="1">
      <alignment horizontal="center" vertical="center"/>
    </xf>
    <xf numFmtId="0" fontId="0" fillId="0" borderId="35" xfId="0" applyBorder="1"/>
    <xf numFmtId="1" fontId="14" fillId="0" borderId="26" xfId="0" applyNumberFormat="1" applyFont="1" applyBorder="1" applyAlignment="1">
      <alignment horizontal="center" vertical="center"/>
    </xf>
    <xf numFmtId="1" fontId="26" fillId="0" borderId="33" xfId="0" applyNumberFormat="1" applyFont="1" applyBorder="1" applyAlignment="1">
      <alignment horizontal="center" vertical="center"/>
    </xf>
    <xf numFmtId="165" fontId="24" fillId="0" borderId="116" xfId="0" applyNumberFormat="1" applyFont="1" applyBorder="1" applyAlignment="1">
      <alignment horizontal="center" vertical="center"/>
    </xf>
    <xf numFmtId="0" fontId="1" fillId="0" borderId="12" xfId="0" applyFont="1" applyBorder="1"/>
    <xf numFmtId="0" fontId="0" fillId="0" borderId="12" xfId="0" applyBorder="1"/>
    <xf numFmtId="0" fontId="1" fillId="4" borderId="118" xfId="0" applyFont="1" applyFill="1" applyBorder="1" applyAlignment="1">
      <alignment horizontal="center"/>
    </xf>
    <xf numFmtId="0" fontId="0" fillId="0" borderId="92" xfId="0" applyBorder="1"/>
    <xf numFmtId="0" fontId="0" fillId="0" borderId="38" xfId="0" applyBorder="1"/>
    <xf numFmtId="0" fontId="1" fillId="4" borderId="118" xfId="0" applyFont="1" applyFill="1" applyBorder="1"/>
    <xf numFmtId="0" fontId="1" fillId="4" borderId="103" xfId="0" applyFont="1" applyFill="1" applyBorder="1"/>
    <xf numFmtId="0" fontId="0" fillId="0" borderId="117" xfId="0" applyBorder="1"/>
    <xf numFmtId="0" fontId="1" fillId="2" borderId="0" xfId="0" applyFont="1" applyFill="1"/>
    <xf numFmtId="0" fontId="1" fillId="2" borderId="3" xfId="0" applyFont="1" applyFill="1" applyBorder="1"/>
    <xf numFmtId="0" fontId="1" fillId="2" borderId="4" xfId="0" applyFont="1" applyFill="1" applyBorder="1"/>
    <xf numFmtId="0" fontId="1" fillId="2" borderId="89" xfId="0" applyFont="1" applyFill="1" applyBorder="1"/>
    <xf numFmtId="0" fontId="0" fillId="0" borderId="101" xfId="0" applyBorder="1" applyAlignment="1">
      <alignment horizontal="center"/>
    </xf>
    <xf numFmtId="44" fontId="0" fillId="0" borderId="0" xfId="5" applyFont="1" applyAlignment="1">
      <alignment horizontal="center"/>
    </xf>
    <xf numFmtId="0" fontId="29" fillId="3" borderId="80" xfId="1" applyFont="1" applyBorder="1" applyAlignment="1" applyProtection="1">
      <alignment horizontal="center" vertical="center"/>
    </xf>
    <xf numFmtId="0" fontId="1" fillId="0" borderId="1" xfId="0" applyFont="1" applyBorder="1"/>
    <xf numFmtId="0" fontId="0" fillId="2" borderId="0" xfId="0" applyFill="1"/>
    <xf numFmtId="0" fontId="0" fillId="0" borderId="0" xfId="0" applyAlignment="1">
      <alignment wrapText="1"/>
    </xf>
    <xf numFmtId="1" fontId="0" fillId="2" borderId="19" xfId="0" applyNumberFormat="1" applyFill="1" applyBorder="1" applyAlignment="1">
      <alignment horizontal="center"/>
    </xf>
    <xf numFmtId="165" fontId="0" fillId="0" borderId="15" xfId="0" applyNumberFormat="1" applyBorder="1" applyAlignment="1">
      <alignment horizontal="center"/>
    </xf>
    <xf numFmtId="0" fontId="8" fillId="2" borderId="0" xfId="0" applyFont="1" applyFill="1"/>
    <xf numFmtId="0" fontId="8" fillId="2" borderId="0" xfId="0" applyFont="1" applyFill="1" applyAlignment="1">
      <alignment horizontal="center"/>
    </xf>
    <xf numFmtId="0" fontId="0" fillId="2" borderId="18" xfId="0" applyFill="1" applyBorder="1" applyAlignment="1">
      <alignment horizontal="center"/>
    </xf>
    <xf numFmtId="0" fontId="0" fillId="2" borderId="0" xfId="0" applyFill="1" applyAlignment="1">
      <alignment horizontal="center"/>
    </xf>
    <xf numFmtId="0" fontId="0" fillId="0" borderId="0" xfId="0" quotePrefix="1"/>
    <xf numFmtId="0" fontId="0" fillId="2" borderId="0" xfId="0" applyFill="1" applyAlignment="1">
      <alignment horizontal="left"/>
    </xf>
    <xf numFmtId="0" fontId="1" fillId="2" borderId="48" xfId="0" applyFont="1" applyFill="1" applyBorder="1" applyAlignment="1">
      <alignment horizontal="center"/>
    </xf>
    <xf numFmtId="0" fontId="1" fillId="0" borderId="47" xfId="0" applyFont="1" applyBorder="1" applyAlignment="1">
      <alignment horizontal="center"/>
    </xf>
    <xf numFmtId="168" fontId="10" fillId="0" borderId="0" xfId="0" applyNumberFormat="1" applyFont="1" applyAlignment="1">
      <alignment horizontal="center"/>
    </xf>
    <xf numFmtId="2" fontId="15" fillId="0" borderId="18" xfId="0" applyNumberFormat="1" applyFont="1" applyBorder="1" applyAlignment="1">
      <alignment horizontal="center"/>
    </xf>
    <xf numFmtId="2" fontId="4" fillId="0" borderId="0" xfId="0" applyNumberFormat="1" applyFont="1"/>
    <xf numFmtId="2" fontId="4" fillId="2" borderId="15" xfId="0" applyNumberFormat="1" applyFont="1" applyFill="1" applyBorder="1" applyAlignment="1">
      <alignment horizontal="center"/>
    </xf>
    <xf numFmtId="0" fontId="0" fillId="0" borderId="0" xfId="0" quotePrefix="1" applyAlignment="1">
      <alignment horizontal="center"/>
    </xf>
    <xf numFmtId="0" fontId="2" fillId="5" borderId="2" xfId="1" applyFill="1" applyAlignment="1" applyProtection="1">
      <alignment horizontal="center" vertical="center"/>
      <protection locked="0"/>
    </xf>
    <xf numFmtId="170" fontId="28" fillId="0" borderId="111" xfId="0" quotePrefix="1" applyNumberFormat="1" applyFont="1" applyBorder="1" applyAlignment="1">
      <alignment horizontal="center" vertical="center"/>
    </xf>
    <xf numFmtId="2" fontId="0" fillId="0" borderId="94" xfId="0" applyNumberFormat="1" applyBorder="1" applyAlignment="1">
      <alignment horizontal="center"/>
    </xf>
    <xf numFmtId="0" fontId="0" fillId="0" borderId="120" xfId="0" applyBorder="1" applyAlignment="1">
      <alignment horizontal="left" vertical="center"/>
    </xf>
    <xf numFmtId="0" fontId="9" fillId="10" borderId="70" xfId="0" applyFont="1" applyFill="1" applyBorder="1" applyAlignment="1">
      <alignment horizontal="center" vertical="center" wrapText="1"/>
    </xf>
    <xf numFmtId="0" fontId="8" fillId="0" borderId="0" xfId="0" applyFont="1" applyAlignment="1">
      <alignment horizontal="center" vertical="center" wrapText="1"/>
    </xf>
    <xf numFmtId="166" fontId="15" fillId="0" borderId="0" xfId="0" applyNumberFormat="1" applyFont="1" applyAlignment="1" applyProtection="1">
      <alignment horizontal="center"/>
      <protection locked="0"/>
    </xf>
    <xf numFmtId="0" fontId="8" fillId="0" borderId="106" xfId="0" applyFont="1" applyBorder="1" applyAlignment="1">
      <alignment horizontal="center" vertical="center" wrapText="1"/>
    </xf>
    <xf numFmtId="0" fontId="8" fillId="0" borderId="105" xfId="0" applyFont="1" applyBorder="1" applyAlignment="1">
      <alignment horizontal="center" vertical="center" wrapText="1"/>
    </xf>
    <xf numFmtId="166" fontId="8" fillId="0" borderId="84" xfId="0" applyNumberFormat="1" applyFont="1" applyBorder="1" applyAlignment="1">
      <alignment horizontal="center" vertical="center" wrapText="1"/>
    </xf>
    <xf numFmtId="0" fontId="8" fillId="0" borderId="84" xfId="0" applyFont="1" applyBorder="1" applyAlignment="1">
      <alignment horizontal="center" vertical="center" wrapText="1"/>
    </xf>
    <xf numFmtId="2" fontId="0" fillId="0" borderId="6" xfId="0" applyNumberFormat="1" applyBorder="1" applyAlignment="1" applyProtection="1">
      <alignment horizontal="center"/>
      <protection locked="0"/>
    </xf>
    <xf numFmtId="1" fontId="0" fillId="0" borderId="96" xfId="0" applyNumberFormat="1" applyBorder="1" applyAlignment="1" applyProtection="1">
      <alignment horizontal="center"/>
      <protection locked="0"/>
    </xf>
    <xf numFmtId="0" fontId="15" fillId="0" borderId="46" xfId="0" applyFont="1" applyBorder="1" applyProtection="1">
      <protection locked="0"/>
    </xf>
    <xf numFmtId="0" fontId="15" fillId="0" borderId="47" xfId="0" applyFont="1" applyBorder="1"/>
    <xf numFmtId="2" fontId="0" fillId="0" borderId="6" xfId="0" applyNumberFormat="1" applyBorder="1" applyAlignment="1">
      <alignment horizontal="center"/>
    </xf>
    <xf numFmtId="1" fontId="0" fillId="0" borderId="96" xfId="0" applyNumberFormat="1" applyBorder="1" applyAlignment="1">
      <alignment horizontal="center"/>
    </xf>
    <xf numFmtId="166" fontId="15" fillId="0" borderId="0" xfId="0" applyNumberFormat="1" applyFont="1" applyAlignment="1">
      <alignment horizontal="center"/>
    </xf>
    <xf numFmtId="2" fontId="15" fillId="0" borderId="96" xfId="0" applyNumberFormat="1" applyFont="1" applyBorder="1" applyAlignment="1">
      <alignment horizontal="center"/>
    </xf>
    <xf numFmtId="0" fontId="15" fillId="0" borderId="46" xfId="0" applyFont="1" applyBorder="1"/>
    <xf numFmtId="2" fontId="15" fillId="0" borderId="6" xfId="0" applyNumberFormat="1" applyFont="1" applyBorder="1" applyAlignment="1">
      <alignment horizontal="center"/>
    </xf>
    <xf numFmtId="1" fontId="15" fillId="0" borderId="96" xfId="0" applyNumberFormat="1" applyFont="1" applyBorder="1" applyAlignment="1">
      <alignment horizontal="center"/>
    </xf>
    <xf numFmtId="2" fontId="15" fillId="0" borderId="6" xfId="0" applyNumberFormat="1" applyFont="1" applyBorder="1" applyAlignment="1" applyProtection="1">
      <alignment horizontal="center"/>
      <protection locked="0"/>
    </xf>
    <xf numFmtId="1" fontId="15" fillId="0" borderId="96" xfId="0" applyNumberFormat="1" applyFont="1" applyBorder="1" applyAlignment="1" applyProtection="1">
      <alignment horizontal="center"/>
      <protection locked="0"/>
    </xf>
    <xf numFmtId="2" fontId="0" fillId="0" borderId="31" xfId="0" quotePrefix="1" applyNumberFormat="1" applyBorder="1" applyAlignment="1">
      <alignment horizontal="center"/>
    </xf>
    <xf numFmtId="171" fontId="4" fillId="0" borderId="0" xfId="0" applyNumberFormat="1" applyFont="1"/>
    <xf numFmtId="0" fontId="0" fillId="0" borderId="78" xfId="0" applyBorder="1"/>
    <xf numFmtId="0" fontId="0" fillId="0" borderId="78" xfId="0" applyBorder="1" applyAlignment="1">
      <alignment horizontal="center"/>
    </xf>
    <xf numFmtId="0" fontId="22" fillId="0" borderId="0" xfId="0" applyFont="1" applyAlignment="1">
      <alignment vertical="center"/>
    </xf>
    <xf numFmtId="1" fontId="14" fillId="0" borderId="35" xfId="0" applyNumberFormat="1" applyFont="1" applyBorder="1" applyAlignment="1">
      <alignment horizontal="center" vertical="center"/>
    </xf>
    <xf numFmtId="2" fontId="27" fillId="0" borderId="0" xfId="0" applyNumberFormat="1" applyFont="1" applyAlignment="1">
      <alignment horizontal="center" vertical="center"/>
    </xf>
    <xf numFmtId="1" fontId="14" fillId="0" borderId="92" xfId="0" applyNumberFormat="1" applyFont="1" applyBorder="1" applyAlignment="1">
      <alignment horizontal="center" vertical="center"/>
    </xf>
    <xf numFmtId="1" fontId="14" fillId="0" borderId="42" xfId="0" applyNumberFormat="1" applyFont="1" applyBorder="1" applyAlignment="1">
      <alignment horizontal="center" vertical="center"/>
    </xf>
    <xf numFmtId="1" fontId="14" fillId="0" borderId="131" xfId="0" applyNumberFormat="1" applyFont="1" applyBorder="1" applyAlignment="1">
      <alignment horizontal="center" vertical="center"/>
    </xf>
    <xf numFmtId="1" fontId="14" fillId="0" borderId="132" xfId="0" applyNumberFormat="1" applyFont="1" applyBorder="1" applyAlignment="1">
      <alignment horizontal="center" vertical="center"/>
    </xf>
    <xf numFmtId="1" fontId="14" fillId="0" borderId="133" xfId="0" applyNumberFormat="1" applyFont="1" applyBorder="1" applyAlignment="1">
      <alignment horizontal="center" vertical="center"/>
    </xf>
    <xf numFmtId="172" fontId="15" fillId="0" borderId="120" xfId="0" quotePrefix="1" applyNumberFormat="1" applyFont="1" applyBorder="1" applyAlignment="1">
      <alignment horizontal="center" vertical="center"/>
    </xf>
    <xf numFmtId="2" fontId="8" fillId="2" borderId="24" xfId="1" applyNumberFormat="1" applyFont="1" applyFill="1" applyBorder="1" applyAlignment="1" applyProtection="1">
      <alignment horizontal="left" vertical="center"/>
    </xf>
    <xf numFmtId="0" fontId="0" fillId="0" borderId="14" xfId="0" applyBorder="1" applyAlignment="1">
      <alignment horizontal="center"/>
    </xf>
    <xf numFmtId="0" fontId="0" fillId="0" borderId="17" xfId="0" applyBorder="1" applyAlignment="1">
      <alignment horizontal="center"/>
    </xf>
    <xf numFmtId="0" fontId="0" fillId="0" borderId="39" xfId="0" applyBorder="1" applyAlignment="1">
      <alignment horizontal="center"/>
    </xf>
    <xf numFmtId="1" fontId="4" fillId="0" borderId="31" xfId="0" applyNumberFormat="1" applyFont="1" applyBorder="1" applyAlignment="1">
      <alignment horizontal="center"/>
    </xf>
    <xf numFmtId="0" fontId="36" fillId="0" borderId="0" xfId="0" applyFont="1"/>
    <xf numFmtId="173" fontId="15" fillId="0" borderId="120" xfId="0" quotePrefix="1" applyNumberFormat="1" applyFont="1" applyBorder="1" applyAlignment="1">
      <alignment horizontal="center" vertical="center"/>
    </xf>
    <xf numFmtId="0" fontId="0" fillId="0" borderId="15"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78" xfId="0" applyBorder="1" applyAlignment="1" applyProtection="1">
      <alignment horizontal="center"/>
      <protection locked="0"/>
    </xf>
    <xf numFmtId="165" fontId="4" fillId="13" borderId="120" xfId="0" applyNumberFormat="1" applyFont="1" applyFill="1" applyBorder="1" applyAlignment="1">
      <alignment horizontal="center" vertical="center"/>
    </xf>
    <xf numFmtId="2" fontId="15" fillId="0" borderId="0" xfId="0" applyNumberFormat="1" applyFont="1" applyAlignment="1">
      <alignment horizontal="center"/>
    </xf>
    <xf numFmtId="0" fontId="8" fillId="0" borderId="6" xfId="0" applyFont="1" applyBorder="1" applyAlignment="1">
      <alignment horizontal="center" vertical="center" wrapText="1"/>
    </xf>
    <xf numFmtId="1" fontId="15" fillId="0" borderId="0" xfId="0" applyNumberFormat="1" applyFont="1" applyAlignment="1">
      <alignment horizontal="center"/>
    </xf>
    <xf numFmtId="0" fontId="8" fillId="0" borderId="118" xfId="0" applyFont="1" applyBorder="1" applyAlignment="1">
      <alignment vertical="center"/>
    </xf>
    <xf numFmtId="3" fontId="1" fillId="14" borderId="0" xfId="0" applyNumberFormat="1" applyFont="1" applyFill="1" applyAlignment="1">
      <alignment horizontal="center"/>
    </xf>
    <xf numFmtId="0" fontId="4" fillId="0" borderId="139" xfId="0" applyFont="1" applyBorder="1"/>
    <xf numFmtId="0" fontId="4" fillId="0" borderId="139" xfId="0" applyFont="1" applyBorder="1" applyAlignment="1">
      <alignment vertical="center"/>
    </xf>
    <xf numFmtId="0" fontId="0" fillId="0" borderId="139" xfId="0" applyBorder="1"/>
    <xf numFmtId="0" fontId="1" fillId="0" borderId="139" xfId="0" applyFont="1" applyBorder="1"/>
    <xf numFmtId="0" fontId="0" fillId="2" borderId="139" xfId="0" applyFill="1" applyBorder="1" applyAlignment="1">
      <alignment vertical="center"/>
    </xf>
    <xf numFmtId="0" fontId="1" fillId="2" borderId="0" xfId="0" applyFont="1" applyFill="1" applyAlignment="1">
      <alignment horizontal="center"/>
    </xf>
    <xf numFmtId="168" fontId="0" fillId="0" borderId="0" xfId="0" applyNumberFormat="1" applyAlignment="1">
      <alignment horizontal="center"/>
    </xf>
    <xf numFmtId="0" fontId="4" fillId="14" borderId="139" xfId="0" applyFont="1" applyFill="1" applyBorder="1"/>
    <xf numFmtId="0" fontId="4" fillId="14" borderId="0" xfId="0" applyFont="1" applyFill="1"/>
    <xf numFmtId="0" fontId="0" fillId="0" borderId="42" xfId="0" applyBorder="1" applyAlignment="1">
      <alignment horizontal="left"/>
    </xf>
    <xf numFmtId="0" fontId="0" fillId="0" borderId="18" xfId="0" applyBorder="1" applyAlignment="1">
      <alignment horizontal="left"/>
    </xf>
    <xf numFmtId="1" fontId="14" fillId="0" borderId="121" xfId="0" applyNumberFormat="1" applyFont="1" applyBorder="1" applyAlignment="1">
      <alignment horizontal="center" vertical="center"/>
    </xf>
    <xf numFmtId="3" fontId="0" fillId="16" borderId="0" xfId="0" applyNumberFormat="1" applyFill="1" applyAlignment="1">
      <alignment horizontal="center"/>
    </xf>
    <xf numFmtId="3" fontId="0" fillId="17" borderId="0" xfId="0" applyNumberFormat="1" applyFill="1" applyAlignment="1">
      <alignment horizontal="center"/>
    </xf>
    <xf numFmtId="3" fontId="0" fillId="18" borderId="0" xfId="0" applyNumberFormat="1" applyFill="1" applyAlignment="1">
      <alignment horizontal="center"/>
    </xf>
    <xf numFmtId="3" fontId="0" fillId="13" borderId="0" xfId="0" applyNumberFormat="1" applyFill="1" applyAlignment="1">
      <alignment horizontal="center"/>
    </xf>
    <xf numFmtId="0" fontId="1" fillId="0" borderId="0" xfId="0" applyFont="1" applyAlignment="1">
      <alignment vertical="center"/>
    </xf>
    <xf numFmtId="0" fontId="1" fillId="0" borderId="0" xfId="0" applyFont="1" applyAlignment="1">
      <alignment horizontal="left"/>
    </xf>
    <xf numFmtId="0" fontId="9" fillId="0" borderId="120" xfId="0" applyFont="1" applyBorder="1" applyAlignment="1">
      <alignment horizontal="right" vertical="center"/>
    </xf>
    <xf numFmtId="0" fontId="38" fillId="15" borderId="123" xfId="0" applyFont="1" applyFill="1" applyBorder="1" applyAlignment="1">
      <alignment horizontal="centerContinuous" vertical="center"/>
    </xf>
    <xf numFmtId="0" fontId="39" fillId="15" borderId="124" xfId="1" applyFont="1" applyFill="1" applyBorder="1" applyAlignment="1" applyProtection="1">
      <alignment horizontal="centerContinuous" vertical="center"/>
      <protection locked="0"/>
    </xf>
    <xf numFmtId="0" fontId="38" fillId="15" borderId="125" xfId="0" applyFont="1" applyFill="1" applyBorder="1" applyAlignment="1">
      <alignment horizontal="centerContinuous" vertical="center"/>
    </xf>
    <xf numFmtId="1" fontId="39" fillId="15" borderId="134" xfId="1" applyNumberFormat="1" applyFont="1" applyFill="1" applyBorder="1" applyAlignment="1" applyProtection="1">
      <alignment horizontal="centerContinuous" vertical="center"/>
      <protection locked="0"/>
    </xf>
    <xf numFmtId="0" fontId="40" fillId="15" borderId="123" xfId="0" applyFont="1" applyFill="1" applyBorder="1" applyAlignment="1">
      <alignment horizontal="centerContinuous" vertical="center"/>
    </xf>
    <xf numFmtId="1" fontId="25" fillId="15" borderId="124" xfId="1" applyNumberFormat="1" applyFont="1" applyFill="1" applyBorder="1" applyAlignment="1" applyProtection="1">
      <alignment horizontal="centerContinuous" vertical="center"/>
      <protection locked="0"/>
    </xf>
    <xf numFmtId="1" fontId="39" fillId="15" borderId="124" xfId="1" applyNumberFormat="1" applyFont="1" applyFill="1" applyBorder="1" applyAlignment="1" applyProtection="1">
      <alignment horizontal="centerContinuous" vertical="center"/>
      <protection locked="0"/>
    </xf>
    <xf numFmtId="0" fontId="9" fillId="0" borderId="122" xfId="0" applyFont="1" applyBorder="1" applyAlignment="1">
      <alignment horizontal="right" vertical="center"/>
    </xf>
    <xf numFmtId="0" fontId="9" fillId="14" borderId="125" xfId="0" applyFont="1" applyFill="1" applyBorder="1" applyAlignment="1">
      <alignment horizontal="right" vertical="center"/>
    </xf>
    <xf numFmtId="2" fontId="41" fillId="14" borderId="124" xfId="6" applyNumberFormat="1" applyFont="1" applyFill="1" applyBorder="1" applyAlignment="1" applyProtection="1">
      <alignment horizontal="center" vertical="center"/>
    </xf>
    <xf numFmtId="0" fontId="9" fillId="14" borderId="123" xfId="0" applyFont="1" applyFill="1" applyBorder="1" applyAlignment="1">
      <alignment horizontal="right" vertical="center"/>
    </xf>
    <xf numFmtId="0" fontId="33" fillId="0" borderId="123" xfId="0" applyFont="1" applyBorder="1" applyAlignment="1">
      <alignment horizontal="centerContinuous" vertical="center"/>
    </xf>
    <xf numFmtId="174" fontId="39" fillId="15" borderId="124" xfId="1" applyNumberFormat="1" applyFont="1" applyFill="1" applyBorder="1" applyAlignment="1" applyProtection="1">
      <alignment horizontal="centerContinuous" vertical="center"/>
      <protection locked="0"/>
    </xf>
    <xf numFmtId="0" fontId="9" fillId="0" borderId="123" xfId="0" applyFont="1" applyBorder="1" applyAlignment="1">
      <alignment horizontal="right" vertical="center"/>
    </xf>
    <xf numFmtId="2" fontId="9" fillId="13" borderId="121" xfId="0" applyNumberFormat="1" applyFont="1" applyFill="1" applyBorder="1" applyAlignment="1">
      <alignment horizontal="center" vertical="center"/>
    </xf>
    <xf numFmtId="165" fontId="9" fillId="13" borderId="120" xfId="0" applyNumberFormat="1" applyFont="1" applyFill="1" applyBorder="1" applyAlignment="1">
      <alignment horizontal="center" vertical="center"/>
    </xf>
    <xf numFmtId="2" fontId="9" fillId="13" borderId="120" xfId="0" quotePrefix="1" applyNumberFormat="1" applyFont="1" applyFill="1" applyBorder="1" applyAlignment="1">
      <alignment horizontal="center" vertical="center"/>
    </xf>
    <xf numFmtId="2" fontId="9" fillId="13" borderId="120" xfId="6" applyNumberFormat="1" applyFont="1" applyFill="1" applyBorder="1" applyAlignment="1" applyProtection="1">
      <alignment horizontal="center" vertical="center"/>
    </xf>
    <xf numFmtId="170" fontId="39" fillId="13" borderId="120" xfId="0" quotePrefix="1" applyNumberFormat="1" applyFont="1" applyFill="1" applyBorder="1" applyAlignment="1">
      <alignment horizontal="center" vertical="center"/>
    </xf>
    <xf numFmtId="170" fontId="9" fillId="13" borderId="120" xfId="0" applyNumberFormat="1" applyFont="1" applyFill="1" applyBorder="1" applyAlignment="1">
      <alignment horizontal="center" vertical="center"/>
    </xf>
    <xf numFmtId="2" fontId="9" fillId="13" borderId="120" xfId="0" applyNumberFormat="1" applyFont="1" applyFill="1" applyBorder="1" applyAlignment="1">
      <alignment horizontal="center" vertical="center"/>
    </xf>
    <xf numFmtId="0" fontId="1" fillId="2" borderId="139" xfId="0" applyFont="1" applyFill="1" applyBorder="1" applyAlignment="1">
      <alignment vertical="center"/>
    </xf>
    <xf numFmtId="3" fontId="1" fillId="13" borderId="12" xfId="0" applyNumberFormat="1" applyFont="1" applyFill="1" applyBorder="1" applyAlignment="1">
      <alignment horizontal="center"/>
    </xf>
    <xf numFmtId="3" fontId="30" fillId="15" borderId="12" xfId="0" applyNumberFormat="1" applyFont="1" applyFill="1" applyBorder="1" applyAlignment="1">
      <alignment horizontal="center" vertical="center"/>
    </xf>
    <xf numFmtId="0" fontId="0" fillId="0" borderId="33" xfId="0" applyBorder="1"/>
    <xf numFmtId="0" fontId="0" fillId="0" borderId="36" xfId="0" applyBorder="1"/>
    <xf numFmtId="0" fontId="0" fillId="0" borderId="90" xfId="0" applyBorder="1"/>
    <xf numFmtId="0" fontId="33" fillId="0" borderId="141" xfId="0" applyFont="1" applyBorder="1"/>
    <xf numFmtId="0" fontId="0" fillId="0" borderId="83" xfId="0" applyBorder="1"/>
    <xf numFmtId="0" fontId="0" fillId="0" borderId="37" xfId="0" applyBorder="1"/>
    <xf numFmtId="0" fontId="0" fillId="0" borderId="142" xfId="0" applyBorder="1"/>
    <xf numFmtId="0" fontId="33" fillId="0" borderId="92" xfId="0" applyFont="1" applyBorder="1" applyAlignment="1">
      <alignment horizontal="right" vertical="center" indent="1"/>
    </xf>
    <xf numFmtId="0" fontId="33" fillId="0" borderId="43" xfId="0" applyFont="1" applyBorder="1" applyAlignment="1">
      <alignment vertical="center"/>
    </xf>
    <xf numFmtId="0" fontId="33" fillId="0" borderId="35" xfId="0" applyFont="1" applyBorder="1" applyAlignment="1">
      <alignment horizontal="right" vertical="center" indent="1"/>
    </xf>
    <xf numFmtId="0" fontId="33" fillId="0" borderId="19" xfId="0" applyFont="1" applyBorder="1" applyAlignment="1">
      <alignment vertical="center"/>
    </xf>
    <xf numFmtId="0" fontId="33" fillId="0" borderId="35" xfId="0" applyFont="1" applyBorder="1" applyAlignment="1">
      <alignment horizontal="right" indent="1"/>
    </xf>
    <xf numFmtId="0" fontId="33" fillId="0" borderId="19" xfId="0" applyFont="1" applyBorder="1"/>
    <xf numFmtId="0" fontId="33" fillId="0" borderId="38" xfId="0" applyFont="1" applyBorder="1" applyAlignment="1">
      <alignment horizontal="right" indent="1"/>
    </xf>
    <xf numFmtId="0" fontId="33" fillId="0" borderId="22" xfId="0" applyFont="1" applyBorder="1"/>
    <xf numFmtId="0" fontId="33" fillId="0" borderId="26" xfId="0" applyFont="1" applyBorder="1" applyAlignment="1">
      <alignment horizontal="left" indent="1"/>
    </xf>
    <xf numFmtId="0" fontId="33" fillId="0" borderId="34" xfId="0" applyFont="1" applyBorder="1" applyAlignment="1">
      <alignment horizontal="left" indent="1"/>
    </xf>
    <xf numFmtId="0" fontId="33" fillId="0" borderId="27" xfId="0" applyFont="1" applyBorder="1" applyAlignment="1">
      <alignment horizontal="left" indent="1"/>
    </xf>
    <xf numFmtId="0" fontId="33" fillId="0" borderId="37" xfId="0" applyFont="1" applyBorder="1" applyAlignment="1">
      <alignment horizontal="left" indent="1"/>
    </xf>
    <xf numFmtId="0" fontId="9" fillId="0" borderId="0" xfId="0" applyFont="1" applyAlignment="1">
      <alignment vertical="center"/>
    </xf>
    <xf numFmtId="0" fontId="44" fillId="0" borderId="0" xfId="0" applyFont="1"/>
    <xf numFmtId="0" fontId="0" fillId="2" borderId="139" xfId="0" applyFill="1" applyBorder="1"/>
    <xf numFmtId="0" fontId="1" fillId="0" borderId="143" xfId="0" applyFont="1" applyBorder="1" applyAlignment="1">
      <alignment horizontal="center"/>
    </xf>
    <xf numFmtId="0" fontId="1" fillId="2" borderId="143" xfId="0" applyFont="1" applyFill="1" applyBorder="1" applyAlignment="1">
      <alignment horizontal="center"/>
    </xf>
    <xf numFmtId="165" fontId="0" fillId="0" borderId="0" xfId="0" applyNumberFormat="1" applyAlignment="1">
      <alignment horizontal="center"/>
    </xf>
    <xf numFmtId="0" fontId="1" fillId="0" borderId="103" xfId="0" applyFont="1" applyBorder="1" applyAlignment="1">
      <alignment horizontal="center"/>
    </xf>
    <xf numFmtId="0" fontId="1" fillId="5" borderId="117" xfId="0" applyFont="1" applyFill="1" applyBorder="1" applyAlignment="1">
      <alignment horizontal="center"/>
    </xf>
    <xf numFmtId="0" fontId="1" fillId="4" borderId="117" xfId="0" applyFont="1" applyFill="1" applyBorder="1" applyAlignment="1">
      <alignment horizontal="center"/>
    </xf>
    <xf numFmtId="0" fontId="0" fillId="0" borderId="117" xfId="0" applyBorder="1" applyAlignment="1">
      <alignment horizontal="center"/>
    </xf>
    <xf numFmtId="0" fontId="1" fillId="0" borderId="44" xfId="0" applyFont="1" applyBorder="1" applyAlignment="1">
      <alignment horizontal="center"/>
    </xf>
    <xf numFmtId="0" fontId="1" fillId="0" borderId="98" xfId="0" applyFont="1" applyBorder="1" applyAlignment="1">
      <alignment horizontal="center"/>
    </xf>
    <xf numFmtId="164" fontId="0" fillId="0" borderId="44" xfId="0" applyNumberFormat="1" applyBorder="1" applyAlignment="1">
      <alignment horizontal="center"/>
    </xf>
    <xf numFmtId="0" fontId="33" fillId="0" borderId="141" xfId="0" applyFont="1" applyBorder="1" applyAlignment="1">
      <alignment horizontal="left" indent="1"/>
    </xf>
    <xf numFmtId="0" fontId="0" fillId="0" borderId="81" xfId="0" applyBorder="1"/>
    <xf numFmtId="175" fontId="9" fillId="13" borderId="120" xfId="0" applyNumberFormat="1" applyFont="1" applyFill="1" applyBorder="1" applyAlignment="1">
      <alignment horizontal="center" vertical="center"/>
    </xf>
    <xf numFmtId="0" fontId="0" fillId="0" borderId="44" xfId="0" applyBorder="1"/>
    <xf numFmtId="2" fontId="0" fillId="0" borderId="0" xfId="0" quotePrefix="1" applyNumberFormat="1" applyAlignment="1">
      <alignment horizontal="center"/>
    </xf>
    <xf numFmtId="2" fontId="39" fillId="15" borderId="124" xfId="6" applyNumberFormat="1" applyFont="1" applyFill="1" applyBorder="1" applyAlignment="1" applyProtection="1">
      <alignment horizontal="centerContinuous" vertical="center"/>
    </xf>
    <xf numFmtId="165" fontId="25" fillId="15" borderId="124" xfId="1" applyNumberFormat="1" applyFont="1" applyFill="1" applyBorder="1" applyAlignment="1" applyProtection="1">
      <alignment horizontal="centerContinuous" vertical="center"/>
      <protection locked="0"/>
    </xf>
    <xf numFmtId="1" fontId="4" fillId="0" borderId="0" xfId="0" applyNumberFormat="1" applyFont="1" applyAlignment="1">
      <alignment horizontal="center"/>
    </xf>
    <xf numFmtId="0" fontId="38" fillId="15" borderId="0" xfId="0" applyFont="1" applyFill="1" applyAlignment="1">
      <alignment horizontal="centerContinuous" vertical="center"/>
    </xf>
    <xf numFmtId="0" fontId="0" fillId="0" borderId="1" xfId="0" applyBorder="1" applyAlignment="1">
      <alignment horizontal="center"/>
    </xf>
    <xf numFmtId="0" fontId="0" fillId="5" borderId="0" xfId="0" applyFill="1"/>
    <xf numFmtId="1" fontId="15" fillId="0" borderId="138" xfId="1" applyNumberFormat="1" applyFont="1" applyFill="1" applyBorder="1" applyAlignment="1" applyProtection="1">
      <alignment vertical="center"/>
    </xf>
    <xf numFmtId="0" fontId="4" fillId="0" borderId="138" xfId="0" applyFont="1" applyBorder="1"/>
    <xf numFmtId="0" fontId="4" fillId="0" borderId="144" xfId="0" applyFont="1" applyBorder="1"/>
    <xf numFmtId="0" fontId="22" fillId="0" borderId="0" xfId="0" applyFont="1" applyAlignment="1">
      <alignment horizontal="left"/>
    </xf>
    <xf numFmtId="0" fontId="33" fillId="0" borderId="135" xfId="0" applyFont="1" applyBorder="1" applyAlignment="1">
      <alignment horizontal="right" vertical="center"/>
    </xf>
    <xf numFmtId="0" fontId="9" fillId="10" borderId="145" xfId="0" applyFont="1" applyFill="1" applyBorder="1" applyAlignment="1">
      <alignment horizontal="center" vertical="center" wrapText="1"/>
    </xf>
    <xf numFmtId="0" fontId="8" fillId="0" borderId="46" xfId="0" applyFont="1" applyBorder="1" applyAlignment="1">
      <alignment horizontal="center" vertical="center" wrapText="1"/>
    </xf>
    <xf numFmtId="1" fontId="15" fillId="0" borderId="46" xfId="0" applyNumberFormat="1" applyFont="1" applyBorder="1" applyAlignment="1">
      <alignment horizontal="center"/>
    </xf>
    <xf numFmtId="0" fontId="33" fillId="0" borderId="123" xfId="0" applyFont="1" applyBorder="1" applyAlignment="1">
      <alignment vertical="center"/>
    </xf>
    <xf numFmtId="0" fontId="33" fillId="13" borderId="124" xfId="0" applyFont="1" applyFill="1" applyBorder="1" applyAlignment="1">
      <alignment horizontal="center" vertical="center"/>
    </xf>
    <xf numFmtId="1" fontId="39" fillId="13" borderId="124" xfId="1" applyNumberFormat="1" applyFont="1" applyFill="1" applyBorder="1" applyAlignment="1" applyProtection="1">
      <alignment horizontal="center" vertical="center"/>
    </xf>
    <xf numFmtId="0" fontId="4" fillId="0" borderId="144" xfId="0" applyFont="1" applyBorder="1" applyAlignment="1">
      <alignment horizontal="center"/>
    </xf>
    <xf numFmtId="49" fontId="0" fillId="0" borderId="0" xfId="0" quotePrefix="1" applyNumberFormat="1"/>
    <xf numFmtId="0" fontId="39" fillId="15" borderId="134" xfId="1" applyFont="1" applyFill="1" applyBorder="1" applyAlignment="1" applyProtection="1">
      <alignment horizontal="centerContinuous" vertical="center"/>
      <protection locked="0"/>
    </xf>
    <xf numFmtId="0" fontId="8" fillId="0" borderId="97" xfId="0" applyFont="1" applyBorder="1" applyAlignment="1">
      <alignment horizontal="center" vertical="center" wrapText="1"/>
    </xf>
    <xf numFmtId="0" fontId="9" fillId="0" borderId="146" xfId="0" applyFont="1" applyBorder="1" applyAlignment="1">
      <alignment horizontal="left" vertical="center"/>
    </xf>
    <xf numFmtId="0" fontId="4" fillId="0" borderId="147" xfId="0" applyFont="1" applyBorder="1" applyAlignment="1">
      <alignment horizontal="left" vertical="center"/>
    </xf>
    <xf numFmtId="0" fontId="22" fillId="0" borderId="139" xfId="0" applyFont="1" applyBorder="1" applyAlignment="1">
      <alignment vertical="center"/>
    </xf>
    <xf numFmtId="0" fontId="0" fillId="0" borderId="18" xfId="0" applyBorder="1" applyAlignment="1" applyProtection="1">
      <alignment horizontal="center"/>
      <protection hidden="1"/>
    </xf>
    <xf numFmtId="0" fontId="0" fillId="0" borderId="15" xfId="0" applyBorder="1" applyAlignment="1" applyProtection="1">
      <alignment horizontal="center"/>
      <protection hidden="1"/>
    </xf>
    <xf numFmtId="0" fontId="0" fillId="0" borderId="78" xfId="0" applyBorder="1" applyAlignment="1" applyProtection="1">
      <alignment horizontal="center"/>
      <protection hidden="1"/>
    </xf>
    <xf numFmtId="0" fontId="0" fillId="0" borderId="0" xfId="0" applyProtection="1">
      <protection locked="0"/>
    </xf>
    <xf numFmtId="0" fontId="45" fillId="0" borderId="0" xfId="0" quotePrefix="1" applyFont="1" applyAlignment="1">
      <alignment vertical="top"/>
    </xf>
    <xf numFmtId="0" fontId="4" fillId="0" borderId="144" xfId="0" applyFont="1" applyBorder="1" applyAlignment="1">
      <alignment horizontal="center" vertical="center"/>
    </xf>
    <xf numFmtId="0" fontId="4" fillId="0" borderId="144" xfId="0" applyFont="1" applyBorder="1" applyAlignment="1">
      <alignment vertical="center"/>
    </xf>
    <xf numFmtId="9" fontId="0" fillId="2" borderId="0" xfId="4" applyFont="1" applyFill="1" applyAlignment="1">
      <alignment horizontal="center"/>
    </xf>
    <xf numFmtId="1" fontId="26" fillId="0" borderId="112" xfId="0" applyNumberFormat="1" applyFont="1" applyBorder="1" applyAlignment="1">
      <alignment horizontal="center" vertical="center"/>
    </xf>
    <xf numFmtId="1" fontId="26" fillId="0" borderId="113" xfId="0" applyNumberFormat="1" applyFont="1" applyBorder="1" applyAlignment="1">
      <alignment horizontal="center" vertical="center"/>
    </xf>
    <xf numFmtId="0" fontId="9" fillId="0" borderId="120" xfId="0" applyFont="1" applyBorder="1" applyAlignment="1">
      <alignment horizontal="right" vertical="center" wrapText="1"/>
    </xf>
    <xf numFmtId="0" fontId="46" fillId="0" borderId="0" xfId="0" applyFont="1" applyAlignment="1" applyProtection="1">
      <alignment horizontal="center" vertical="center"/>
      <protection locked="0"/>
    </xf>
    <xf numFmtId="0" fontId="4" fillId="0" borderId="0" xfId="0" applyFont="1" applyAlignment="1">
      <alignment horizontal="right"/>
    </xf>
    <xf numFmtId="2" fontId="1" fillId="0" borderId="1" xfId="0" applyNumberFormat="1" applyFont="1" applyBorder="1" applyAlignment="1">
      <alignment horizontal="center"/>
    </xf>
    <xf numFmtId="2" fontId="42" fillId="15" borderId="124" xfId="1" applyNumberFormat="1" applyFont="1" applyFill="1" applyBorder="1" applyAlignment="1" applyProtection="1">
      <alignment horizontal="centerContinuous" vertical="center"/>
      <protection locked="0"/>
    </xf>
    <xf numFmtId="0" fontId="47" fillId="0" borderId="123" xfId="0" applyFont="1" applyBorder="1" applyAlignment="1">
      <alignment horizontal="centerContinuous" vertical="center"/>
    </xf>
    <xf numFmtId="0" fontId="1" fillId="0" borderId="150" xfId="0" applyFont="1" applyBorder="1" applyAlignment="1">
      <alignment horizontal="right" vertical="center"/>
    </xf>
    <xf numFmtId="0" fontId="4" fillId="0" borderId="150" xfId="0" applyFont="1" applyBorder="1" applyAlignment="1">
      <alignment horizontal="center"/>
    </xf>
    <xf numFmtId="0" fontId="4" fillId="0" borderId="150" xfId="0" applyFont="1" applyBorder="1"/>
    <xf numFmtId="0" fontId="4" fillId="0" borderId="150" xfId="0" applyFont="1" applyBorder="1" applyAlignment="1">
      <alignment horizontal="left"/>
    </xf>
    <xf numFmtId="15" fontId="0" fillId="0" borderId="0" xfId="0" applyNumberFormat="1"/>
    <xf numFmtId="2" fontId="15" fillId="0" borderId="0" xfId="0" applyNumberFormat="1" applyFont="1" applyAlignment="1" applyProtection="1">
      <alignment horizontal="center"/>
      <protection locked="0"/>
    </xf>
    <xf numFmtId="0" fontId="48" fillId="0" borderId="0" xfId="0" applyFont="1"/>
    <xf numFmtId="0" fontId="38" fillId="15" borderId="135" xfId="0" applyFont="1" applyFill="1" applyBorder="1" applyAlignment="1">
      <alignment horizontal="centerContinuous" vertical="center"/>
    </xf>
    <xf numFmtId="0" fontId="0" fillId="0" borderId="146" xfId="0" applyBorder="1"/>
    <xf numFmtId="0" fontId="4" fillId="0" borderId="147" xfId="0" applyFont="1" applyBorder="1" applyAlignment="1">
      <alignment horizontal="center"/>
    </xf>
    <xf numFmtId="0" fontId="4" fillId="0" borderId="151" xfId="0" applyFont="1" applyBorder="1"/>
    <xf numFmtId="0" fontId="4" fillId="0" borderId="152" xfId="0" applyFont="1" applyBorder="1" applyAlignment="1">
      <alignment horizontal="center"/>
    </xf>
    <xf numFmtId="0" fontId="4" fillId="0" borderId="125" xfId="0" applyFont="1" applyBorder="1"/>
    <xf numFmtId="0" fontId="4" fillId="0" borderId="134" xfId="0" applyFont="1" applyBorder="1" applyAlignment="1">
      <alignment horizontal="center"/>
    </xf>
    <xf numFmtId="0" fontId="9" fillId="0" borderId="121" xfId="0" applyFont="1" applyBorder="1" applyAlignment="1">
      <alignment horizontal="right" vertical="center"/>
    </xf>
    <xf numFmtId="0" fontId="15" fillId="0" borderId="92" xfId="0" applyFont="1" applyBorder="1" applyAlignment="1">
      <alignment horizontal="center"/>
    </xf>
    <xf numFmtId="0" fontId="15" fillId="0" borderId="42" xfId="0" applyFont="1" applyBorder="1" applyAlignment="1">
      <alignment horizontal="center"/>
    </xf>
    <xf numFmtId="1" fontId="0" fillId="0" borderId="154" xfId="0" applyNumberFormat="1" applyBorder="1" applyAlignment="1">
      <alignment horizontal="center"/>
    </xf>
    <xf numFmtId="0" fontId="0" fillId="0" borderId="153" xfId="0" applyBorder="1" applyAlignment="1">
      <alignment horizontal="center"/>
    </xf>
    <xf numFmtId="1" fontId="0" fillId="0" borderId="155" xfId="0" applyNumberFormat="1" applyBorder="1" applyAlignment="1">
      <alignment horizontal="center"/>
    </xf>
    <xf numFmtId="0" fontId="0" fillId="0" borderId="156" xfId="0" applyBorder="1" applyAlignment="1">
      <alignment horizontal="center"/>
    </xf>
    <xf numFmtId="0" fontId="0" fillId="0" borderId="163" xfId="0" applyBorder="1"/>
    <xf numFmtId="164" fontId="0" fillId="2" borderId="0" xfId="0" applyNumberFormat="1" applyFill="1" applyAlignment="1">
      <alignment horizontal="center"/>
    </xf>
    <xf numFmtId="0" fontId="4" fillId="0" borderId="165" xfId="0" applyFont="1" applyBorder="1" applyAlignment="1">
      <alignment horizontal="left"/>
    </xf>
    <xf numFmtId="0" fontId="0" fillId="0" borderId="165" xfId="0" applyBorder="1" applyAlignment="1">
      <alignment horizontal="left"/>
    </xf>
    <xf numFmtId="0" fontId="0" fillId="0" borderId="167" xfId="0" applyBorder="1" applyAlignment="1">
      <alignment horizontal="left" vertical="center"/>
    </xf>
    <xf numFmtId="0" fontId="0" fillId="0" borderId="163" xfId="0" applyBorder="1" applyAlignment="1">
      <alignment horizontal="left"/>
    </xf>
    <xf numFmtId="2" fontId="1" fillId="0" borderId="0" xfId="0" applyNumberFormat="1" applyFont="1" applyAlignment="1">
      <alignment horizontal="center"/>
    </xf>
    <xf numFmtId="0" fontId="1" fillId="0" borderId="162" xfId="0" applyFont="1" applyBorder="1" applyAlignment="1">
      <alignment horizontal="right"/>
    </xf>
    <xf numFmtId="2" fontId="0" fillId="0" borderId="119" xfId="0" applyNumberFormat="1" applyBorder="1" applyAlignment="1">
      <alignment horizontal="center"/>
    </xf>
    <xf numFmtId="0" fontId="0" fillId="0" borderId="170" xfId="0" applyBorder="1"/>
    <xf numFmtId="0" fontId="1" fillId="0" borderId="164" xfId="0" applyFont="1" applyBorder="1" applyAlignment="1">
      <alignment horizontal="right"/>
    </xf>
    <xf numFmtId="0" fontId="1" fillId="0" borderId="166" xfId="0" applyFont="1" applyBorder="1" applyAlignment="1">
      <alignment horizontal="right" vertical="center"/>
    </xf>
    <xf numFmtId="0" fontId="1" fillId="0" borderId="164" xfId="0" applyFont="1" applyBorder="1" applyAlignment="1">
      <alignment horizontal="right" vertical="center"/>
    </xf>
    <xf numFmtId="0" fontId="1" fillId="0" borderId="168" xfId="0" applyFont="1" applyBorder="1" applyAlignment="1">
      <alignment horizontal="right"/>
    </xf>
    <xf numFmtId="0" fontId="1" fillId="0" borderId="169" xfId="0" applyFont="1" applyBorder="1" applyAlignment="1">
      <alignment horizontal="right"/>
    </xf>
    <xf numFmtId="164" fontId="0" fillId="0" borderId="162" xfId="0" applyNumberFormat="1" applyBorder="1" applyAlignment="1">
      <alignment horizontal="center"/>
    </xf>
    <xf numFmtId="0" fontId="0" fillId="0" borderId="162" xfId="0" applyBorder="1"/>
    <xf numFmtId="2" fontId="4" fillId="0" borderId="164" xfId="0" applyNumberFormat="1" applyFont="1" applyBorder="1" applyAlignment="1">
      <alignment horizontal="center" vertical="center"/>
    </xf>
    <xf numFmtId="2" fontId="0" fillId="0" borderId="162" xfId="0" applyNumberFormat="1" applyBorder="1" applyAlignment="1">
      <alignment horizontal="center"/>
    </xf>
    <xf numFmtId="0" fontId="0" fillId="0" borderId="169" xfId="0" applyBorder="1"/>
    <xf numFmtId="9" fontId="0" fillId="0" borderId="0" xfId="4" applyFont="1" applyAlignment="1">
      <alignment horizontal="center"/>
    </xf>
    <xf numFmtId="0" fontId="9" fillId="0" borderId="121" xfId="0" applyFont="1" applyBorder="1" applyAlignment="1">
      <alignment horizontal="right" vertical="center" wrapText="1"/>
    </xf>
    <xf numFmtId="10" fontId="0" fillId="0" borderId="162" xfId="4" applyNumberFormat="1" applyFont="1" applyBorder="1" applyAlignment="1">
      <alignment horizontal="center"/>
    </xf>
    <xf numFmtId="10" fontId="0" fillId="0" borderId="0" xfId="4" applyNumberFormat="1" applyFont="1" applyBorder="1" applyAlignment="1">
      <alignment horizontal="center"/>
    </xf>
    <xf numFmtId="2" fontId="0" fillId="5" borderId="0" xfId="0" applyNumberFormat="1" applyFill="1" applyAlignment="1">
      <alignment horizontal="center"/>
    </xf>
    <xf numFmtId="0" fontId="33" fillId="0" borderId="0" xfId="0" applyFont="1"/>
    <xf numFmtId="0" fontId="33" fillId="0" borderId="138" xfId="0" applyFont="1" applyBorder="1"/>
    <xf numFmtId="0" fontId="47" fillId="15" borderId="123" xfId="0" applyFont="1" applyFill="1" applyBorder="1" applyAlignment="1">
      <alignment horizontal="centerContinuous" vertical="center"/>
    </xf>
    <xf numFmtId="0" fontId="47" fillId="15" borderId="125" xfId="0" applyFont="1" applyFill="1" applyBorder="1" applyAlignment="1">
      <alignment horizontal="centerContinuous" vertical="center"/>
    </xf>
    <xf numFmtId="0" fontId="30" fillId="15" borderId="12" xfId="0" applyFont="1" applyFill="1" applyBorder="1" applyAlignment="1">
      <alignment horizontal="center" vertical="center"/>
    </xf>
    <xf numFmtId="0" fontId="52" fillId="0" borderId="46" xfId="0" applyFont="1" applyBorder="1"/>
    <xf numFmtId="2" fontId="53" fillId="0" borderId="6" xfId="0" applyNumberFormat="1" applyFont="1" applyBorder="1" applyAlignment="1" applyProtection="1">
      <alignment horizontal="center"/>
      <protection locked="0"/>
    </xf>
    <xf numFmtId="1" fontId="53" fillId="0" borderId="96" xfId="0" applyNumberFormat="1" applyFont="1" applyBorder="1" applyAlignment="1" applyProtection="1">
      <alignment horizontal="center"/>
      <protection locked="0"/>
    </xf>
    <xf numFmtId="166" fontId="53" fillId="0" borderId="0" xfId="0" applyNumberFormat="1" applyFont="1" applyAlignment="1" applyProtection="1">
      <alignment horizontal="center"/>
      <protection locked="0"/>
    </xf>
    <xf numFmtId="2" fontId="53" fillId="0" borderId="96" xfId="0" applyNumberFormat="1" applyFont="1" applyBorder="1" applyAlignment="1">
      <alignment horizontal="center"/>
    </xf>
    <xf numFmtId="0" fontId="0" fillId="0" borderId="15" xfId="0" applyBorder="1" applyProtection="1">
      <protection locked="0"/>
    </xf>
    <xf numFmtId="0" fontId="0" fillId="0" borderId="15" xfId="0" applyBorder="1" applyAlignment="1" applyProtection="1">
      <alignment horizontal="center"/>
      <protection locked="0" hidden="1"/>
    </xf>
    <xf numFmtId="0" fontId="0" fillId="0" borderId="18" xfId="0" applyBorder="1" applyProtection="1">
      <protection locked="0"/>
    </xf>
    <xf numFmtId="0" fontId="0" fillId="0" borderId="18" xfId="0" applyBorder="1" applyAlignment="1" applyProtection="1">
      <alignment horizontal="center"/>
      <protection locked="0" hidden="1"/>
    </xf>
    <xf numFmtId="0" fontId="0" fillId="0" borderId="78" xfId="0" applyBorder="1" applyProtection="1">
      <protection locked="0"/>
    </xf>
    <xf numFmtId="0" fontId="0" fillId="0" borderId="78" xfId="0" applyBorder="1" applyAlignment="1" applyProtection="1">
      <alignment horizontal="center"/>
      <protection locked="0" hidden="1"/>
    </xf>
    <xf numFmtId="2" fontId="33" fillId="15" borderId="42" xfId="0" applyNumberFormat="1" applyFont="1" applyFill="1" applyBorder="1" applyAlignment="1" applyProtection="1">
      <alignment horizontal="center" vertical="center"/>
      <protection locked="0"/>
    </xf>
    <xf numFmtId="2" fontId="33" fillId="15" borderId="18" xfId="0" applyNumberFormat="1" applyFont="1" applyFill="1" applyBorder="1" applyAlignment="1" applyProtection="1">
      <alignment horizontal="center" vertical="center"/>
      <protection locked="0"/>
    </xf>
    <xf numFmtId="2" fontId="33" fillId="15" borderId="18" xfId="0" applyNumberFormat="1" applyFont="1" applyFill="1" applyBorder="1" applyAlignment="1" applyProtection="1">
      <alignment horizontal="center"/>
      <protection locked="0"/>
    </xf>
    <xf numFmtId="2" fontId="33" fillId="15" borderId="21" xfId="0" applyNumberFormat="1" applyFont="1" applyFill="1" applyBorder="1" applyAlignment="1" applyProtection="1">
      <alignment horizontal="center"/>
      <protection locked="0"/>
    </xf>
    <xf numFmtId="0" fontId="0" fillId="8" borderId="18" xfId="0" applyFill="1" applyBorder="1" applyAlignment="1">
      <alignment horizontal="center"/>
    </xf>
    <xf numFmtId="2" fontId="4" fillId="2" borderId="18" xfId="0" applyNumberFormat="1" applyFont="1" applyFill="1" applyBorder="1" applyAlignment="1">
      <alignment horizontal="center" vertical="center"/>
    </xf>
    <xf numFmtId="169" fontId="42" fillId="15" borderId="124" xfId="1" applyNumberFormat="1" applyFont="1" applyFill="1" applyBorder="1" applyAlignment="1" applyProtection="1">
      <alignment horizontal="centerContinuous" vertical="center"/>
      <protection locked="0"/>
    </xf>
    <xf numFmtId="0" fontId="33" fillId="0" borderId="34" xfId="0" applyFont="1" applyBorder="1"/>
    <xf numFmtId="0" fontId="0" fillId="0" borderId="34" xfId="0" applyBorder="1"/>
    <xf numFmtId="0" fontId="33" fillId="0" borderId="91" xfId="0" applyFont="1" applyBorder="1"/>
    <xf numFmtId="0" fontId="33" fillId="0" borderId="100" xfId="0" applyFont="1" applyBorder="1"/>
    <xf numFmtId="1" fontId="0" fillId="0" borderId="42" xfId="0" applyNumberFormat="1" applyBorder="1" applyAlignment="1">
      <alignment horizontal="center"/>
    </xf>
    <xf numFmtId="1" fontId="0" fillId="0" borderId="31" xfId="0" applyNumberFormat="1" applyBorder="1" applyAlignment="1">
      <alignment horizontal="center"/>
    </xf>
    <xf numFmtId="2" fontId="0" fillId="2" borderId="15" xfId="0" applyNumberFormat="1" applyFill="1" applyBorder="1" applyAlignment="1">
      <alignment horizontal="center"/>
    </xf>
    <xf numFmtId="2" fontId="0" fillId="2" borderId="18" xfId="0" applyNumberFormat="1" applyFill="1" applyBorder="1" applyAlignment="1">
      <alignment horizontal="center"/>
    </xf>
    <xf numFmtId="2" fontId="0" fillId="2" borderId="31" xfId="0" applyNumberFormat="1" applyFill="1" applyBorder="1" applyAlignment="1">
      <alignment horizontal="center"/>
    </xf>
    <xf numFmtId="164" fontId="0" fillId="0" borderId="0" xfId="0" applyNumberFormat="1"/>
    <xf numFmtId="0" fontId="0" fillId="0" borderId="163" xfId="0" applyBorder="1" applyAlignment="1">
      <alignment horizontal="left" vertical="center"/>
    </xf>
    <xf numFmtId="0" fontId="0" fillId="0" borderId="162" xfId="0" applyBorder="1" applyAlignment="1">
      <alignment horizontal="center"/>
    </xf>
    <xf numFmtId="1" fontId="33" fillId="13" borderId="120" xfId="0" applyNumberFormat="1" applyFont="1" applyFill="1" applyBorder="1" applyAlignment="1">
      <alignment horizontal="center" vertical="center"/>
    </xf>
    <xf numFmtId="0" fontId="34" fillId="0" borderId="0" xfId="0" applyFont="1" applyAlignment="1">
      <alignment horizontal="center"/>
    </xf>
    <xf numFmtId="0" fontId="0" fillId="15" borderId="135" xfId="0" quotePrefix="1" applyFill="1" applyBorder="1" applyAlignment="1">
      <alignment vertical="top" wrapText="1"/>
    </xf>
    <xf numFmtId="0" fontId="0" fillId="15" borderId="124" xfId="0" quotePrefix="1" applyFill="1" applyBorder="1" applyAlignment="1">
      <alignment vertical="top" wrapText="1"/>
    </xf>
    <xf numFmtId="0" fontId="0" fillId="15" borderId="123" xfId="0" quotePrefix="1" applyFill="1" applyBorder="1" applyAlignment="1" applyProtection="1">
      <alignment horizontal="center" vertical="top"/>
      <protection locked="0"/>
    </xf>
    <xf numFmtId="0" fontId="54" fillId="15" borderId="135" xfId="0" quotePrefix="1" applyFont="1" applyFill="1" applyBorder="1" applyAlignment="1">
      <alignment horizontal="left" vertical="center"/>
    </xf>
    <xf numFmtId="0" fontId="9" fillId="0" borderId="0" xfId="0" applyFont="1"/>
    <xf numFmtId="0" fontId="25" fillId="0" borderId="0" xfId="0" applyFont="1" applyAlignment="1">
      <alignment horizontal="center" vertical="center"/>
    </xf>
    <xf numFmtId="1" fontId="26" fillId="0" borderId="0" xfId="0" applyNumberFormat="1" applyFont="1" applyAlignment="1">
      <alignment horizontal="center" vertical="center"/>
    </xf>
    <xf numFmtId="0" fontId="55" fillId="0" borderId="0" xfId="0" applyFont="1"/>
    <xf numFmtId="0" fontId="0" fillId="0" borderId="105" xfId="0" applyBorder="1"/>
    <xf numFmtId="0" fontId="0" fillId="0" borderId="84" xfId="0" applyBorder="1"/>
    <xf numFmtId="0" fontId="0" fillId="0" borderId="106" xfId="0" applyBorder="1"/>
    <xf numFmtId="0" fontId="0" fillId="0" borderId="6" xfId="0" applyBorder="1"/>
    <xf numFmtId="0" fontId="0" fillId="0" borderId="96" xfId="0" applyBorder="1"/>
    <xf numFmtId="0" fontId="57" fillId="0" borderId="6" xfId="8" applyFont="1" applyBorder="1"/>
    <xf numFmtId="0" fontId="0" fillId="0" borderId="173" xfId="0" applyBorder="1"/>
    <xf numFmtId="0" fontId="0" fillId="0" borderId="97" xfId="0" applyBorder="1"/>
    <xf numFmtId="0" fontId="0" fillId="0" borderId="174" xfId="0" applyBorder="1"/>
    <xf numFmtId="0" fontId="58" fillId="0" borderId="0" xfId="0" applyFont="1"/>
    <xf numFmtId="0" fontId="57" fillId="0" borderId="0" xfId="8" applyFont="1" applyBorder="1"/>
    <xf numFmtId="0" fontId="56" fillId="0" borderId="0" xfId="8" applyAlignment="1">
      <alignment horizontal="center" wrapText="1"/>
    </xf>
    <xf numFmtId="0" fontId="0" fillId="0" borderId="178" xfId="0" applyBorder="1"/>
    <xf numFmtId="0" fontId="9" fillId="0" borderId="123" xfId="0" applyFont="1" applyBorder="1" applyAlignment="1">
      <alignment vertical="center"/>
    </xf>
    <xf numFmtId="2" fontId="3" fillId="0" borderId="0" xfId="0" applyNumberFormat="1" applyFont="1"/>
    <xf numFmtId="0" fontId="3" fillId="0" borderId="0" xfId="0" applyFont="1"/>
    <xf numFmtId="0" fontId="13" fillId="0" borderId="0" xfId="0" applyFont="1"/>
    <xf numFmtId="0" fontId="0" fillId="20" borderId="12" xfId="0" applyFill="1" applyBorder="1"/>
    <xf numFmtId="0" fontId="1" fillId="2" borderId="12" xfId="0" applyFont="1" applyFill="1" applyBorder="1"/>
    <xf numFmtId="0" fontId="0" fillId="0" borderId="12" xfId="0" applyBorder="1" applyAlignment="1">
      <alignment horizontal="center"/>
    </xf>
    <xf numFmtId="9" fontId="0" fillId="2" borderId="30" xfId="4" applyFont="1" applyFill="1" applyBorder="1"/>
    <xf numFmtId="0" fontId="0" fillId="0" borderId="12" xfId="0" applyBorder="1" applyAlignment="1">
      <alignment wrapText="1"/>
    </xf>
    <xf numFmtId="0" fontId="0" fillId="2" borderId="12" xfId="0" applyFill="1" applyBorder="1"/>
    <xf numFmtId="0" fontId="0" fillId="21" borderId="12" xfId="0" applyFill="1" applyBorder="1"/>
    <xf numFmtId="0" fontId="0" fillId="20" borderId="0" xfId="0" applyFill="1"/>
    <xf numFmtId="2" fontId="0" fillId="0" borderId="12" xfId="0" applyNumberFormat="1" applyBorder="1"/>
    <xf numFmtId="165" fontId="0" fillId="0" borderId="12" xfId="0" applyNumberFormat="1" applyBorder="1"/>
    <xf numFmtId="164" fontId="0" fillId="0" borderId="12" xfId="0" applyNumberFormat="1" applyBorder="1"/>
    <xf numFmtId="0" fontId="22" fillId="0" borderId="12" xfId="0" applyFont="1" applyBorder="1"/>
    <xf numFmtId="0" fontId="1" fillId="21" borderId="12" xfId="0" applyFont="1" applyFill="1" applyBorder="1" applyAlignment="1">
      <alignment horizontal="center"/>
    </xf>
    <xf numFmtId="164" fontId="0" fillId="0" borderId="12" xfId="0" applyNumberFormat="1" applyBorder="1" applyAlignment="1">
      <alignment horizontal="center"/>
    </xf>
    <xf numFmtId="0" fontId="0" fillId="23" borderId="12" xfId="0" applyFill="1" applyBorder="1"/>
    <xf numFmtId="0" fontId="13" fillId="20" borderId="0" xfId="0" applyFont="1" applyFill="1"/>
    <xf numFmtId="167" fontId="0" fillId="0" borderId="12" xfId="0" applyNumberFormat="1" applyBorder="1" applyAlignment="1">
      <alignment horizontal="right"/>
    </xf>
    <xf numFmtId="0" fontId="0" fillId="0" borderId="12" xfId="0" applyBorder="1" applyAlignment="1">
      <alignment horizontal="right"/>
    </xf>
    <xf numFmtId="2" fontId="0" fillId="0" borderId="12" xfId="0" applyNumberFormat="1" applyBorder="1" applyAlignment="1">
      <alignment horizontal="right"/>
    </xf>
    <xf numFmtId="0" fontId="0" fillId="2" borderId="12" xfId="0" applyFill="1" applyBorder="1" applyAlignment="1">
      <alignment horizontal="center"/>
    </xf>
    <xf numFmtId="0" fontId="0" fillId="24" borderId="0" xfId="0" applyFill="1"/>
    <xf numFmtId="176" fontId="0" fillId="0" borderId="12" xfId="0" applyNumberFormat="1" applyBorder="1"/>
    <xf numFmtId="1" fontId="0" fillId="0" borderId="12" xfId="0" applyNumberFormat="1" applyBorder="1"/>
    <xf numFmtId="0" fontId="0" fillId="2" borderId="12" xfId="0" applyFill="1" applyBorder="1" applyAlignment="1">
      <alignment horizontal="right" wrapText="1"/>
    </xf>
    <xf numFmtId="0" fontId="0" fillId="2" borderId="12" xfId="0" applyFill="1" applyBorder="1" applyAlignment="1">
      <alignment horizontal="right"/>
    </xf>
    <xf numFmtId="2" fontId="0" fillId="20" borderId="12" xfId="0" applyNumberFormat="1" applyFill="1" applyBorder="1"/>
    <xf numFmtId="168" fontId="0" fillId="23" borderId="12" xfId="0" applyNumberFormat="1" applyFill="1" applyBorder="1"/>
    <xf numFmtId="1" fontId="9" fillId="13" borderId="124" xfId="0" applyNumberFormat="1" applyFont="1" applyFill="1" applyBorder="1" applyAlignment="1">
      <alignment horizontal="center" vertical="center"/>
    </xf>
    <xf numFmtId="0" fontId="0" fillId="0" borderId="95" xfId="0" applyBorder="1" applyAlignment="1">
      <alignment horizontal="right"/>
    </xf>
    <xf numFmtId="0" fontId="0" fillId="2" borderId="12" xfId="0" applyFill="1" applyBorder="1" applyAlignment="1">
      <alignment vertical="center" wrapText="1"/>
    </xf>
    <xf numFmtId="2" fontId="0" fillId="21" borderId="12" xfId="0" applyNumberFormat="1" applyFill="1" applyBorder="1" applyAlignment="1">
      <alignment horizontal="center"/>
    </xf>
    <xf numFmtId="166" fontId="3" fillId="0" borderId="0" xfId="0" applyNumberFormat="1" applyFont="1"/>
    <xf numFmtId="166" fontId="1" fillId="0" borderId="0" xfId="0" applyNumberFormat="1" applyFont="1" applyAlignment="1">
      <alignment horizontal="center"/>
    </xf>
    <xf numFmtId="177" fontId="10" fillId="0" borderId="0" xfId="0" applyNumberFormat="1" applyFont="1"/>
    <xf numFmtId="178" fontId="10" fillId="0" borderId="0" xfId="0" applyNumberFormat="1" applyFont="1"/>
    <xf numFmtId="0" fontId="46" fillId="0" borderId="0" xfId="0" applyFont="1"/>
    <xf numFmtId="165" fontId="0" fillId="5" borderId="0" xfId="0" applyNumberFormat="1" applyFill="1" applyAlignment="1">
      <alignment horizontal="center"/>
    </xf>
    <xf numFmtId="0" fontId="1" fillId="0" borderId="84" xfId="0" applyFont="1" applyBorder="1"/>
    <xf numFmtId="0" fontId="0" fillId="0" borderId="84" xfId="0" applyBorder="1" applyAlignment="1">
      <alignment horizontal="left"/>
    </xf>
    <xf numFmtId="0" fontId="0" fillId="0" borderId="11" xfId="0" applyBorder="1"/>
    <xf numFmtId="0" fontId="1" fillId="0" borderId="13" xfId="0" applyFont="1" applyBorder="1" applyAlignment="1">
      <alignment horizontal="center"/>
    </xf>
    <xf numFmtId="1" fontId="0" fillId="0" borderId="13" xfId="0" applyNumberFormat="1" applyBorder="1" applyAlignment="1">
      <alignment horizontal="center"/>
    </xf>
    <xf numFmtId="0" fontId="0" fillId="0" borderId="179" xfId="0" applyBorder="1"/>
    <xf numFmtId="0" fontId="0" fillId="0" borderId="180" xfId="0" applyBorder="1"/>
    <xf numFmtId="0" fontId="0" fillId="0" borderId="180" xfId="0" applyBorder="1" applyAlignment="1">
      <alignment horizontal="center"/>
    </xf>
    <xf numFmtId="1" fontId="0" fillId="0" borderId="181" xfId="0" applyNumberFormat="1" applyBorder="1" applyAlignment="1">
      <alignment horizontal="center"/>
    </xf>
    <xf numFmtId="0" fontId="0" fillId="0" borderId="0" xfId="0" applyAlignment="1">
      <alignment horizontal="center" vertical="center"/>
    </xf>
    <xf numFmtId="1" fontId="0" fillId="2" borderId="154" xfId="0" applyNumberFormat="1" applyFill="1" applyBorder="1" applyAlignment="1">
      <alignment horizontal="center"/>
    </xf>
    <xf numFmtId="9" fontId="0" fillId="0" borderId="12" xfId="4" applyFont="1" applyBorder="1"/>
    <xf numFmtId="168" fontId="10" fillId="7" borderId="55" xfId="0" applyNumberFormat="1" applyFont="1" applyFill="1" applyBorder="1" applyAlignment="1">
      <alignment horizontal="center"/>
    </xf>
    <xf numFmtId="168" fontId="10" fillId="2" borderId="58" xfId="0" applyNumberFormat="1" applyFont="1" applyFill="1" applyBorder="1" applyAlignment="1">
      <alignment horizontal="center"/>
    </xf>
    <xf numFmtId="168" fontId="10" fillId="7" borderId="58" xfId="0" applyNumberFormat="1" applyFont="1" applyFill="1" applyBorder="1" applyAlignment="1">
      <alignment horizontal="center"/>
    </xf>
    <xf numFmtId="168" fontId="10" fillId="0" borderId="58" xfId="0" applyNumberFormat="1" applyFont="1" applyBorder="1" applyAlignment="1">
      <alignment horizontal="center"/>
    </xf>
    <xf numFmtId="166" fontId="10" fillId="6" borderId="56" xfId="0" applyNumberFormat="1" applyFont="1" applyFill="1" applyBorder="1" applyAlignment="1">
      <alignment horizontal="center"/>
    </xf>
    <xf numFmtId="166" fontId="10" fillId="0" borderId="59" xfId="0" applyNumberFormat="1" applyFont="1" applyBorder="1" applyAlignment="1">
      <alignment horizontal="center"/>
    </xf>
    <xf numFmtId="166" fontId="10" fillId="6" borderId="59" xfId="0" applyNumberFormat="1" applyFont="1" applyFill="1" applyBorder="1" applyAlignment="1">
      <alignment horizontal="center"/>
    </xf>
    <xf numFmtId="0" fontId="0" fillId="25" borderId="12" xfId="0" applyFill="1" applyBorder="1"/>
    <xf numFmtId="9" fontId="0" fillId="2" borderId="12" xfId="0" applyNumberFormat="1" applyFill="1" applyBorder="1"/>
    <xf numFmtId="0" fontId="60" fillId="0" borderId="0" xfId="0" applyFont="1"/>
    <xf numFmtId="0" fontId="0" fillId="0" borderId="73" xfId="0" applyBorder="1"/>
    <xf numFmtId="0" fontId="0" fillId="0" borderId="175" xfId="0" applyBorder="1"/>
    <xf numFmtId="0" fontId="0" fillId="0" borderId="68" xfId="0" applyBorder="1"/>
    <xf numFmtId="0" fontId="0" fillId="0" borderId="70" xfId="0" applyBorder="1"/>
    <xf numFmtId="0" fontId="0" fillId="0" borderId="145" xfId="0" applyBorder="1"/>
    <xf numFmtId="0" fontId="0" fillId="0" borderId="72" xfId="0" applyBorder="1"/>
    <xf numFmtId="0" fontId="0" fillId="0" borderId="70" xfId="0" applyBorder="1" applyAlignment="1">
      <alignment vertical="top"/>
    </xf>
    <xf numFmtId="0" fontId="0" fillId="0" borderId="69" xfId="0" applyBorder="1" applyAlignment="1">
      <alignment horizontal="center"/>
    </xf>
    <xf numFmtId="0" fontId="0" fillId="0" borderId="75" xfId="0" applyBorder="1" applyAlignment="1">
      <alignment horizontal="center"/>
    </xf>
    <xf numFmtId="0" fontId="0" fillId="0" borderId="177" xfId="0" applyBorder="1" applyAlignment="1">
      <alignment horizontal="center"/>
    </xf>
    <xf numFmtId="0" fontId="0" fillId="0" borderId="184" xfId="0" applyBorder="1" applyAlignment="1">
      <alignment horizontal="center"/>
    </xf>
    <xf numFmtId="0" fontId="0" fillId="0" borderId="182" xfId="0" applyBorder="1" applyAlignment="1">
      <alignment horizontal="center"/>
    </xf>
    <xf numFmtId="0" fontId="0" fillId="0" borderId="183" xfId="0" applyBorder="1" applyAlignment="1">
      <alignment horizontal="center"/>
    </xf>
    <xf numFmtId="0" fontId="0" fillId="0" borderId="46" xfId="0" applyBorder="1" applyAlignment="1">
      <alignment horizontal="center"/>
    </xf>
    <xf numFmtId="0" fontId="0" fillId="0" borderId="96" xfId="0" applyBorder="1" applyAlignment="1">
      <alignment horizontal="center"/>
    </xf>
    <xf numFmtId="0" fontId="0" fillId="0" borderId="104" xfId="0" applyBorder="1" applyAlignment="1">
      <alignment horizontal="center"/>
    </xf>
    <xf numFmtId="179" fontId="39" fillId="15" borderId="124" xfId="4" applyNumberFormat="1" applyFont="1" applyFill="1" applyBorder="1" applyAlignment="1" applyProtection="1">
      <alignment horizontal="centerContinuous" vertical="center"/>
      <protection locked="0"/>
    </xf>
    <xf numFmtId="0" fontId="61" fillId="4" borderId="84" xfId="0" applyFont="1" applyFill="1" applyBorder="1" applyAlignment="1">
      <alignment horizontal="center"/>
    </xf>
    <xf numFmtId="0" fontId="1" fillId="4" borderId="105" xfId="0" applyFont="1" applyFill="1" applyBorder="1"/>
    <xf numFmtId="0" fontId="1" fillId="4" borderId="84" xfId="0" applyFont="1" applyFill="1" applyBorder="1" applyAlignment="1">
      <alignment horizontal="center"/>
    </xf>
    <xf numFmtId="0" fontId="61" fillId="26" borderId="185" xfId="0" applyFont="1" applyFill="1" applyBorder="1"/>
    <xf numFmtId="0" fontId="0" fillId="0" borderId="97" xfId="0" applyBorder="1" applyAlignment="1">
      <alignment horizontal="center"/>
    </xf>
    <xf numFmtId="0" fontId="1" fillId="2" borderId="12" xfId="0" applyFont="1" applyFill="1" applyBorder="1" applyAlignment="1">
      <alignment wrapText="1"/>
    </xf>
    <xf numFmtId="0" fontId="1" fillId="0" borderId="12" xfId="0" applyFont="1" applyBorder="1" applyAlignment="1">
      <alignment horizontal="left"/>
    </xf>
    <xf numFmtId="0" fontId="25" fillId="0" borderId="49" xfId="0" applyFont="1" applyBorder="1"/>
    <xf numFmtId="180" fontId="39" fillId="15" borderId="72" xfId="0" applyNumberFormat="1" applyFont="1" applyFill="1" applyBorder="1" applyAlignment="1" applyProtection="1">
      <alignment horizontal="center" vertical="center"/>
      <protection locked="0"/>
    </xf>
    <xf numFmtId="0" fontId="0" fillId="0" borderId="99" xfId="0" applyBorder="1" applyAlignment="1">
      <alignment horizontal="center"/>
    </xf>
    <xf numFmtId="1" fontId="9" fillId="15" borderId="124" xfId="0" applyNumberFormat="1" applyFont="1" applyFill="1" applyBorder="1" applyAlignment="1" applyProtection="1">
      <alignment horizontal="centerContinuous" vertical="center"/>
      <protection locked="0"/>
    </xf>
    <xf numFmtId="17" fontId="0" fillId="0" borderId="0" xfId="0" applyNumberFormat="1"/>
    <xf numFmtId="0" fontId="0" fillId="2" borderId="0" xfId="0" quotePrefix="1" applyFill="1" applyAlignment="1">
      <alignment horizontal="center"/>
    </xf>
    <xf numFmtId="0" fontId="0" fillId="2" borderId="6" xfId="0" applyFill="1" applyBorder="1"/>
    <xf numFmtId="0" fontId="4" fillId="0" borderId="173" xfId="0" applyFont="1" applyBorder="1" applyAlignment="1">
      <alignment horizontal="center"/>
    </xf>
    <xf numFmtId="2" fontId="8" fillId="0" borderId="0" xfId="0" applyNumberFormat="1" applyFont="1" applyAlignment="1">
      <alignment horizontal="center"/>
    </xf>
    <xf numFmtId="181" fontId="9" fillId="13" borderId="120" xfId="0" applyNumberFormat="1" applyFont="1" applyFill="1" applyBorder="1" applyAlignment="1">
      <alignment horizontal="center" vertical="center"/>
    </xf>
    <xf numFmtId="17" fontId="0" fillId="0" borderId="0" xfId="0" applyNumberFormat="1" applyAlignment="1">
      <alignment wrapText="1"/>
    </xf>
    <xf numFmtId="182" fontId="25" fillId="13" borderId="120" xfId="0" quotePrefix="1" applyNumberFormat="1" applyFont="1" applyFill="1" applyBorder="1" applyAlignment="1">
      <alignment horizontal="center" vertical="center"/>
    </xf>
    <xf numFmtId="182" fontId="25" fillId="13" borderId="122" xfId="0" quotePrefix="1" applyNumberFormat="1" applyFont="1" applyFill="1" applyBorder="1" applyAlignment="1">
      <alignment horizontal="center" vertical="center"/>
    </xf>
    <xf numFmtId="2" fontId="9" fillId="0" borderId="0" xfId="6" applyNumberFormat="1" applyFont="1" applyFill="1" applyBorder="1" applyAlignment="1" applyProtection="1">
      <alignment horizontal="center" vertical="center"/>
    </xf>
    <xf numFmtId="2" fontId="39" fillId="0" borderId="0" xfId="0" quotePrefix="1" applyNumberFormat="1" applyFont="1" applyAlignment="1">
      <alignment horizontal="center" vertical="center"/>
    </xf>
    <xf numFmtId="1" fontId="0" fillId="0" borderId="40" xfId="0" applyNumberFormat="1" applyBorder="1" applyAlignment="1">
      <alignment horizontal="center"/>
    </xf>
    <xf numFmtId="1" fontId="0" fillId="0" borderId="43" xfId="0" applyNumberFormat="1" applyBorder="1" applyAlignment="1">
      <alignment horizontal="center"/>
    </xf>
    <xf numFmtId="1" fontId="0" fillId="0" borderId="186" xfId="0" applyNumberFormat="1" applyBorder="1" applyAlignment="1">
      <alignment horizontal="center"/>
    </xf>
    <xf numFmtId="0" fontId="0" fillId="0" borderId="187" xfId="0" applyBorder="1" applyAlignment="1">
      <alignment horizontal="center"/>
    </xf>
    <xf numFmtId="0" fontId="0" fillId="0" borderId="35" xfId="0" applyBorder="1" applyAlignment="1">
      <alignment horizontal="center"/>
    </xf>
    <xf numFmtId="0" fontId="0" fillId="0" borderId="188" xfId="0" applyBorder="1" applyAlignment="1">
      <alignment horizontal="center"/>
    </xf>
    <xf numFmtId="1" fontId="0" fillId="0" borderId="78" xfId="0" applyNumberFormat="1" applyBorder="1" applyAlignment="1">
      <alignment horizontal="center"/>
    </xf>
    <xf numFmtId="1" fontId="0" fillId="0" borderId="79" xfId="0" applyNumberFormat="1" applyBorder="1" applyAlignment="1">
      <alignment horizontal="center"/>
    </xf>
    <xf numFmtId="165" fontId="0" fillId="0" borderId="1" xfId="0" applyNumberFormat="1" applyBorder="1" applyAlignment="1">
      <alignment horizontal="center"/>
    </xf>
    <xf numFmtId="0" fontId="0" fillId="0" borderId="188" xfId="0" applyBorder="1"/>
    <xf numFmtId="2" fontId="0" fillId="0" borderId="78" xfId="0" applyNumberFormat="1" applyBorder="1" applyAlignment="1">
      <alignment horizontal="center"/>
    </xf>
    <xf numFmtId="2" fontId="0" fillId="0" borderId="189" xfId="0" applyNumberFormat="1" applyBorder="1" applyAlignment="1">
      <alignment horizontal="center"/>
    </xf>
    <xf numFmtId="0" fontId="0" fillId="0" borderId="79" xfId="0" applyBorder="1" applyAlignment="1">
      <alignment horizontal="center"/>
    </xf>
    <xf numFmtId="0" fontId="4" fillId="0" borderId="0" xfId="0" applyFont="1" applyAlignment="1">
      <alignment horizontal="right" vertical="center"/>
    </xf>
    <xf numFmtId="0" fontId="62" fillId="2" borderId="0" xfId="0" applyFont="1" applyFill="1" applyAlignment="1">
      <alignment horizontal="centerContinuous"/>
    </xf>
    <xf numFmtId="0" fontId="63" fillId="2" borderId="0" xfId="0" applyFont="1" applyFill="1" applyAlignment="1">
      <alignment horizontal="centerContinuous"/>
    </xf>
    <xf numFmtId="0" fontId="0" fillId="0" borderId="29" xfId="0" applyBorder="1"/>
    <xf numFmtId="2" fontId="0" fillId="2" borderId="95" xfId="0" applyNumberFormat="1" applyFill="1" applyBorder="1" applyAlignment="1">
      <alignment horizontal="center"/>
    </xf>
    <xf numFmtId="0" fontId="0" fillId="0" borderId="103" xfId="0" applyBorder="1"/>
    <xf numFmtId="2" fontId="0" fillId="0" borderId="44" xfId="0" applyNumberFormat="1" applyBorder="1" applyAlignment="1">
      <alignment horizontal="center"/>
    </xf>
    <xf numFmtId="0" fontId="0" fillId="8" borderId="12" xfId="0" applyFill="1" applyBorder="1" applyAlignment="1">
      <alignment horizontal="center"/>
    </xf>
    <xf numFmtId="0" fontId="60" fillId="2" borderId="0" xfId="0" applyFont="1" applyFill="1"/>
    <xf numFmtId="0" fontId="64" fillId="2" borderId="0" xfId="0" applyFont="1" applyFill="1"/>
    <xf numFmtId="0" fontId="65" fillId="2" borderId="0" xfId="0" applyFont="1" applyFill="1"/>
    <xf numFmtId="0" fontId="0" fillId="11" borderId="12" xfId="0" applyFill="1" applyBorder="1" applyAlignment="1">
      <alignment horizontal="center"/>
    </xf>
    <xf numFmtId="0" fontId="0" fillId="0" borderId="104" xfId="0" applyBorder="1"/>
    <xf numFmtId="0" fontId="1" fillId="0" borderId="143" xfId="0" applyFont="1" applyBorder="1"/>
    <xf numFmtId="0" fontId="0" fillId="0" borderId="190" xfId="0" applyBorder="1" applyAlignment="1">
      <alignment horizontal="center"/>
    </xf>
    <xf numFmtId="0" fontId="0" fillId="2" borderId="190" xfId="0" applyFill="1" applyBorder="1" applyAlignment="1">
      <alignment horizontal="center"/>
    </xf>
    <xf numFmtId="0" fontId="0" fillId="0" borderId="7" xfId="0" applyBorder="1" applyAlignment="1">
      <alignment horizontal="center"/>
    </xf>
    <xf numFmtId="0" fontId="0" fillId="0" borderId="91" xfId="0" applyBorder="1" applyAlignment="1">
      <alignment horizontal="center"/>
    </xf>
    <xf numFmtId="0" fontId="0" fillId="0" borderId="74" xfId="0" applyBorder="1" applyAlignment="1">
      <alignment horizontal="center"/>
    </xf>
    <xf numFmtId="2" fontId="4" fillId="2" borderId="6" xfId="0" applyNumberFormat="1" applyFont="1" applyFill="1" applyBorder="1" applyAlignment="1">
      <alignment horizontal="center"/>
    </xf>
    <xf numFmtId="0" fontId="0" fillId="0" borderId="0" xfId="0" applyAlignment="1" applyProtection="1">
      <alignment horizontal="center"/>
      <protection hidden="1"/>
    </xf>
    <xf numFmtId="0" fontId="0" fillId="0" borderId="0" xfId="0" applyAlignment="1" applyProtection="1">
      <alignment horizontal="center"/>
      <protection locked="0"/>
    </xf>
    <xf numFmtId="0" fontId="58" fillId="0" borderId="0" xfId="0" applyFont="1" applyAlignment="1">
      <alignment horizontal="left" wrapText="1"/>
    </xf>
    <xf numFmtId="0" fontId="55" fillId="0" borderId="0" xfId="0" applyFont="1" applyAlignment="1">
      <alignment horizontal="left" vertical="top" wrapText="1"/>
    </xf>
    <xf numFmtId="0" fontId="37" fillId="19" borderId="171" xfId="7" applyFont="1" applyFill="1" applyBorder="1" applyAlignment="1" applyProtection="1">
      <alignment horizontal="left" vertical="center"/>
    </xf>
    <xf numFmtId="0" fontId="37" fillId="19" borderId="0" xfId="7" applyFont="1" applyFill="1" applyBorder="1" applyAlignment="1" applyProtection="1">
      <alignment horizontal="left" vertical="center"/>
    </xf>
    <xf numFmtId="0" fontId="0" fillId="0" borderId="125" xfId="0" applyBorder="1" applyAlignment="1">
      <alignment horizontal="left" vertical="top" wrapText="1"/>
    </xf>
    <xf numFmtId="0" fontId="0" fillId="0" borderId="144" xfId="0" applyBorder="1" applyAlignment="1">
      <alignment horizontal="left" vertical="top" wrapText="1"/>
    </xf>
    <xf numFmtId="0" fontId="0" fillId="0" borderId="134" xfId="0" applyBorder="1" applyAlignment="1">
      <alignment horizontal="left" vertical="top" wrapText="1"/>
    </xf>
    <xf numFmtId="0" fontId="51" fillId="0" borderId="3" xfId="0" applyFont="1" applyBorder="1" applyAlignment="1">
      <alignment horizontal="center" vertical="center" wrapText="1"/>
    </xf>
    <xf numFmtId="0" fontId="51" fillId="0" borderId="4" xfId="0" applyFont="1" applyBorder="1" applyAlignment="1">
      <alignment horizontal="center" vertical="center" wrapText="1"/>
    </xf>
    <xf numFmtId="0" fontId="51" fillId="0" borderId="5" xfId="0" applyFont="1" applyBorder="1" applyAlignment="1">
      <alignment horizontal="center" vertical="center" wrapText="1"/>
    </xf>
    <xf numFmtId="0" fontId="0" fillId="13" borderId="138" xfId="0" quotePrefix="1" applyFill="1" applyBorder="1" applyAlignment="1">
      <alignment horizontal="left" vertical="top" wrapText="1"/>
    </xf>
    <xf numFmtId="0" fontId="0" fillId="13" borderId="0" xfId="0" quotePrefix="1" applyFill="1" applyAlignment="1">
      <alignment horizontal="left" vertical="top" wrapText="1"/>
    </xf>
    <xf numFmtId="0" fontId="37" fillId="12" borderId="148" xfId="7" applyFont="1" applyFill="1" applyBorder="1" applyAlignment="1" applyProtection="1">
      <alignment horizontal="center" vertical="center"/>
    </xf>
    <xf numFmtId="0" fontId="37" fillId="12" borderId="149" xfId="7" applyFont="1" applyFill="1" applyBorder="1" applyAlignment="1" applyProtection="1">
      <alignment horizontal="center" vertical="center"/>
    </xf>
    <xf numFmtId="0" fontId="37" fillId="12" borderId="136" xfId="7" applyFont="1" applyFill="1" applyBorder="1" applyAlignment="1" applyProtection="1">
      <alignment horizontal="center" vertical="center"/>
    </xf>
    <xf numFmtId="0" fontId="37" fillId="12" borderId="137" xfId="7" applyFont="1" applyFill="1" applyBorder="1" applyAlignment="1" applyProtection="1">
      <alignment horizontal="center" vertical="center"/>
    </xf>
    <xf numFmtId="0" fontId="9" fillId="0" borderId="122" xfId="0" applyFont="1" applyBorder="1" applyAlignment="1">
      <alignment horizontal="right" vertical="center"/>
    </xf>
    <xf numFmtId="0" fontId="9" fillId="0" borderId="121" xfId="0" applyFont="1" applyBorder="1" applyAlignment="1">
      <alignment horizontal="right" vertical="center"/>
    </xf>
    <xf numFmtId="0" fontId="1" fillId="11" borderId="123" xfId="0" applyFont="1" applyFill="1" applyBorder="1" applyAlignment="1">
      <alignment horizontal="center" vertical="center"/>
    </xf>
    <xf numFmtId="0" fontId="1" fillId="11" borderId="135" xfId="0" applyFont="1" applyFill="1" applyBorder="1" applyAlignment="1">
      <alignment horizontal="center" vertical="center"/>
    </xf>
    <xf numFmtId="0" fontId="1" fillId="11" borderId="124" xfId="0" applyFont="1" applyFill="1" applyBorder="1" applyAlignment="1">
      <alignment horizontal="center" vertical="center"/>
    </xf>
    <xf numFmtId="0" fontId="33" fillId="0" borderId="175" xfId="0" applyFont="1" applyBorder="1" applyAlignment="1">
      <alignment horizontal="center" vertical="center" wrapText="1"/>
    </xf>
    <xf numFmtId="0" fontId="33" fillId="0" borderId="176" xfId="0" applyFont="1" applyBorder="1" applyAlignment="1">
      <alignment horizontal="center" vertical="center" wrapText="1"/>
    </xf>
    <xf numFmtId="0" fontId="33" fillId="0" borderId="177" xfId="0" applyFont="1" applyBorder="1" applyAlignment="1">
      <alignment horizontal="center" vertical="center" wrapText="1"/>
    </xf>
    <xf numFmtId="0" fontId="40" fillId="0" borderId="178" xfId="0" applyFont="1" applyBorder="1" applyAlignment="1">
      <alignment horizontal="center" vertical="center"/>
    </xf>
    <xf numFmtId="0" fontId="40" fillId="0" borderId="7" xfId="0" applyFont="1" applyBorder="1" applyAlignment="1">
      <alignment horizontal="center" vertical="center"/>
    </xf>
    <xf numFmtId="0" fontId="40" fillId="0" borderId="29" xfId="0" applyFont="1" applyBorder="1" applyAlignment="1">
      <alignment horizontal="center" vertical="center"/>
    </xf>
    <xf numFmtId="0" fontId="40" fillId="0" borderId="98" xfId="0" applyFont="1" applyBorder="1" applyAlignment="1">
      <alignment horizontal="center" vertical="center"/>
    </xf>
    <xf numFmtId="0" fontId="40" fillId="0" borderId="1" xfId="0" applyFont="1" applyBorder="1" applyAlignment="1">
      <alignment horizontal="center" vertical="center"/>
    </xf>
    <xf numFmtId="0" fontId="40" fillId="0" borderId="103" xfId="0" applyFont="1" applyBorder="1" applyAlignment="1">
      <alignment horizontal="center" vertical="center"/>
    </xf>
    <xf numFmtId="0" fontId="9" fillId="0" borderId="0" xfId="0" applyFont="1" applyAlignment="1">
      <alignment horizontal="center" vertical="center" wrapText="1"/>
    </xf>
    <xf numFmtId="0" fontId="34" fillId="0" borderId="0" xfId="0" applyFont="1" applyAlignment="1">
      <alignment horizontal="center"/>
    </xf>
    <xf numFmtId="0" fontId="9" fillId="0" borderId="105" xfId="0" applyFont="1" applyBorder="1" applyAlignment="1">
      <alignment horizontal="right" vertical="center" indent="1"/>
    </xf>
    <xf numFmtId="0" fontId="9" fillId="0" borderId="84" xfId="0" applyFont="1" applyBorder="1" applyAlignment="1">
      <alignment horizontal="right" vertical="center" indent="1"/>
    </xf>
    <xf numFmtId="0" fontId="9" fillId="0" borderId="140" xfId="0" applyFont="1" applyBorder="1" applyAlignment="1">
      <alignment horizontal="right" vertical="center" indent="1"/>
    </xf>
    <xf numFmtId="0" fontId="9" fillId="0" borderId="90" xfId="0" applyFont="1" applyBorder="1" applyAlignment="1">
      <alignment horizontal="right" vertical="center" indent="1"/>
    </xf>
    <xf numFmtId="0" fontId="9" fillId="0" borderId="91" xfId="0" applyFont="1" applyBorder="1" applyAlignment="1">
      <alignment horizontal="right" vertical="center" indent="1"/>
    </xf>
    <xf numFmtId="0" fontId="9" fillId="0" borderId="92" xfId="0" applyFont="1" applyBorder="1" applyAlignment="1">
      <alignment horizontal="right" vertical="center" indent="1"/>
    </xf>
    <xf numFmtId="0" fontId="9" fillId="0" borderId="90" xfId="0" applyFont="1" applyBorder="1" applyAlignment="1">
      <alignment horizontal="right" indent="1"/>
    </xf>
    <xf numFmtId="0" fontId="9" fillId="0" borderId="91" xfId="0" applyFont="1" applyBorder="1" applyAlignment="1">
      <alignment horizontal="right" indent="1"/>
    </xf>
    <xf numFmtId="0" fontId="9" fillId="0" borderId="92" xfId="0" applyFont="1" applyBorder="1" applyAlignment="1">
      <alignment horizontal="right" indent="1"/>
    </xf>
    <xf numFmtId="0" fontId="9" fillId="0" borderId="33" xfId="0" applyFont="1" applyBorder="1" applyAlignment="1">
      <alignment horizontal="right" indent="1"/>
    </xf>
    <xf numFmtId="0" fontId="9" fillId="0" borderId="34" xfId="0" applyFont="1" applyBorder="1" applyAlignment="1">
      <alignment horizontal="right" indent="1"/>
    </xf>
    <xf numFmtId="0" fontId="9" fillId="0" borderId="35" xfId="0" applyFont="1" applyBorder="1" applyAlignment="1">
      <alignment horizontal="right" indent="1"/>
    </xf>
    <xf numFmtId="0" fontId="9" fillId="0" borderId="36" xfId="0" applyFont="1" applyBorder="1" applyAlignment="1">
      <alignment horizontal="right" indent="1"/>
    </xf>
    <xf numFmtId="0" fontId="9" fillId="0" borderId="37" xfId="0" applyFont="1" applyBorder="1" applyAlignment="1">
      <alignment horizontal="right" indent="1"/>
    </xf>
    <xf numFmtId="0" fontId="9" fillId="0" borderId="38" xfId="0" applyFont="1" applyBorder="1" applyAlignment="1">
      <alignment horizontal="right" indent="1"/>
    </xf>
    <xf numFmtId="0" fontId="35" fillId="0" borderId="0" xfId="0" applyFont="1" applyAlignment="1">
      <alignment horizontal="left" vertical="center"/>
    </xf>
    <xf numFmtId="0" fontId="35" fillId="0" borderId="0" xfId="0" applyFont="1" applyAlignment="1">
      <alignment horizontal="left"/>
    </xf>
    <xf numFmtId="3" fontId="9" fillId="13" borderId="70" xfId="0" applyNumberFormat="1" applyFont="1" applyFill="1" applyBorder="1" applyAlignment="1">
      <alignment horizontal="center" vertical="center"/>
    </xf>
    <xf numFmtId="3" fontId="9" fillId="13" borderId="71" xfId="0" applyNumberFormat="1" applyFont="1" applyFill="1" applyBorder="1" applyAlignment="1">
      <alignment horizontal="center" vertical="center"/>
    </xf>
    <xf numFmtId="3" fontId="9" fillId="13" borderId="72" xfId="0" applyNumberFormat="1" applyFont="1" applyFill="1" applyBorder="1" applyAlignment="1">
      <alignment horizontal="center" vertical="center"/>
    </xf>
    <xf numFmtId="0" fontId="34" fillId="0" borderId="0" xfId="0" applyFont="1" applyAlignment="1">
      <alignment horizontal="center" vertical="center" textRotation="90"/>
    </xf>
    <xf numFmtId="0" fontId="9" fillId="0" borderId="12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28" xfId="0" applyFont="1" applyBorder="1" applyAlignment="1">
      <alignment horizontal="center" vertical="center" wrapText="1"/>
    </xf>
    <xf numFmtId="0" fontId="9" fillId="0" borderId="130" xfId="0" applyFont="1" applyBorder="1" applyAlignment="1">
      <alignment horizontal="center" vertical="center" wrapText="1"/>
    </xf>
    <xf numFmtId="0" fontId="9" fillId="0" borderId="127" xfId="0" applyFont="1" applyBorder="1" applyAlignment="1">
      <alignment horizontal="center" vertical="center" wrapText="1"/>
    </xf>
    <xf numFmtId="0" fontId="9" fillId="0" borderId="104" xfId="0" applyFont="1" applyBorder="1" applyAlignment="1">
      <alignment horizontal="center" vertical="center" wrapText="1"/>
    </xf>
    <xf numFmtId="0" fontId="33" fillId="0" borderId="172"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99" xfId="0" applyFont="1" applyBorder="1" applyAlignment="1">
      <alignment horizontal="center" vertical="center" wrapText="1"/>
    </xf>
    <xf numFmtId="0" fontId="33" fillId="0" borderId="91" xfId="0" applyFont="1" applyBorder="1" applyAlignment="1">
      <alignment horizontal="center" vertical="center" wrapText="1"/>
    </xf>
    <xf numFmtId="3" fontId="1" fillId="13" borderId="24" xfId="0" applyNumberFormat="1" applyFont="1" applyFill="1" applyBorder="1" applyAlignment="1">
      <alignment horizontal="center"/>
    </xf>
    <xf numFmtId="3" fontId="1" fillId="13" borderId="118" xfId="0" applyNumberFormat="1" applyFont="1" applyFill="1" applyBorder="1" applyAlignment="1">
      <alignment horizontal="center"/>
    </xf>
    <xf numFmtId="3" fontId="1" fillId="13" borderId="30" xfId="0" applyNumberFormat="1" applyFont="1" applyFill="1" applyBorder="1" applyAlignment="1">
      <alignment horizontal="center" vertical="center"/>
    </xf>
    <xf numFmtId="3" fontId="1" fillId="13" borderId="104" xfId="0" applyNumberFormat="1" applyFont="1" applyFill="1" applyBorder="1" applyAlignment="1">
      <alignment horizontal="center" vertical="center"/>
    </xf>
    <xf numFmtId="0" fontId="1" fillId="2" borderId="105" xfId="0" applyFont="1" applyFill="1" applyBorder="1" applyAlignment="1">
      <alignment horizontal="center"/>
    </xf>
    <xf numFmtId="0" fontId="1" fillId="2" borderId="84"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89" xfId="0" applyFont="1" applyFill="1" applyBorder="1" applyAlignment="1">
      <alignment horizontal="center"/>
    </xf>
    <xf numFmtId="0" fontId="1" fillId="2" borderId="44" xfId="0" applyFont="1" applyFill="1" applyBorder="1" applyAlignment="1">
      <alignment horizontal="center"/>
    </xf>
    <xf numFmtId="0" fontId="1" fillId="2" borderId="11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4" borderId="28" xfId="0" applyFont="1" applyFill="1" applyBorder="1" applyAlignment="1">
      <alignment horizontal="center"/>
    </xf>
    <xf numFmtId="0" fontId="1" fillId="4" borderId="7" xfId="0" applyFont="1" applyFill="1" applyBorder="1" applyAlignment="1">
      <alignment horizontal="center"/>
    </xf>
    <xf numFmtId="0" fontId="1" fillId="4" borderId="29" xfId="0" applyFont="1" applyFill="1" applyBorder="1" applyAlignment="1">
      <alignment horizontal="center"/>
    </xf>
    <xf numFmtId="0" fontId="0" fillId="0" borderId="14" xfId="0" applyBorder="1" applyAlignment="1">
      <alignment horizontal="center"/>
    </xf>
    <xf numFmtId="0" fontId="0" fillId="0" borderId="101" xfId="0" applyBorder="1" applyAlignment="1">
      <alignment horizontal="center"/>
    </xf>
    <xf numFmtId="0" fontId="0" fillId="0" borderId="1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70" xfId="0" applyBorder="1" applyAlignment="1">
      <alignment horizontal="left" vertical="top" wrapText="1"/>
    </xf>
    <xf numFmtId="0" fontId="0" fillId="0" borderId="72" xfId="0" applyBorder="1" applyAlignment="1">
      <alignment horizontal="left" vertical="top" wrapText="1"/>
    </xf>
    <xf numFmtId="0" fontId="0" fillId="0" borderId="105" xfId="0" applyBorder="1" applyAlignment="1">
      <alignment horizontal="center"/>
    </xf>
    <xf numFmtId="0" fontId="0" fillId="0" borderId="106" xfId="0" applyBorder="1" applyAlignment="1">
      <alignment horizontal="center"/>
    </xf>
    <xf numFmtId="0" fontId="1" fillId="0" borderId="157" xfId="0" applyFont="1" applyBorder="1" applyAlignment="1">
      <alignment horizontal="center"/>
    </xf>
    <xf numFmtId="0" fontId="1" fillId="0" borderId="158" xfId="0" applyFont="1" applyBorder="1" applyAlignment="1">
      <alignment horizontal="center"/>
    </xf>
    <xf numFmtId="0" fontId="1" fillId="0" borderId="159" xfId="0" applyFont="1" applyBorder="1" applyAlignment="1">
      <alignment horizontal="center"/>
    </xf>
    <xf numFmtId="0" fontId="0" fillId="22" borderId="1" xfId="0" applyFill="1" applyBorder="1" applyAlignment="1">
      <alignment horizontal="center"/>
    </xf>
    <xf numFmtId="0" fontId="5" fillId="2" borderId="73" xfId="0" applyFont="1" applyFill="1" applyBorder="1" applyAlignment="1">
      <alignment horizontal="center"/>
    </xf>
    <xf numFmtId="0" fontId="5" fillId="2" borderId="74" xfId="0" applyFont="1" applyFill="1" applyBorder="1" applyAlignment="1">
      <alignment horizontal="center"/>
    </xf>
    <xf numFmtId="0" fontId="5" fillId="2" borderId="75" xfId="0" applyFont="1" applyFill="1" applyBorder="1" applyAlignment="1">
      <alignment horizontal="center"/>
    </xf>
    <xf numFmtId="0" fontId="9" fillId="5" borderId="70" xfId="0" applyFont="1" applyFill="1" applyBorder="1" applyAlignment="1">
      <alignment horizontal="center" vertical="center"/>
    </xf>
    <xf numFmtId="0" fontId="9" fillId="5" borderId="71" xfId="0" applyFont="1" applyFill="1" applyBorder="1" applyAlignment="1">
      <alignment horizontal="center" vertical="center"/>
    </xf>
    <xf numFmtId="0" fontId="9" fillId="5" borderId="72" xfId="0" applyFont="1" applyFill="1" applyBorder="1" applyAlignment="1">
      <alignment horizontal="center" vertical="center"/>
    </xf>
    <xf numFmtId="0" fontId="1" fillId="4" borderId="68"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69"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1"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9" fillId="2" borderId="160" xfId="0" applyFont="1" applyFill="1" applyBorder="1" applyAlignment="1">
      <alignment horizontal="center"/>
    </xf>
    <xf numFmtId="0" fontId="9" fillId="2" borderId="150" xfId="0" applyFont="1" applyFill="1" applyBorder="1" applyAlignment="1">
      <alignment horizontal="center"/>
    </xf>
    <xf numFmtId="0" fontId="9" fillId="2" borderId="161" xfId="0" applyFont="1" applyFill="1" applyBorder="1" applyAlignment="1">
      <alignment horizontal="center"/>
    </xf>
    <xf numFmtId="0" fontId="5" fillId="4" borderId="3" xfId="0" applyFont="1" applyFill="1" applyBorder="1" applyAlignment="1">
      <alignment horizontal="center"/>
    </xf>
    <xf numFmtId="0" fontId="5" fillId="2" borderId="28" xfId="0" applyFont="1" applyFill="1" applyBorder="1" applyAlignment="1">
      <alignment horizontal="center"/>
    </xf>
    <xf numFmtId="0" fontId="5" fillId="2" borderId="7" xfId="0" applyFont="1" applyFill="1" applyBorder="1" applyAlignment="1">
      <alignment horizontal="center"/>
    </xf>
    <xf numFmtId="0" fontId="5" fillId="2" borderId="76" xfId="0" applyFont="1" applyFill="1" applyBorder="1" applyAlignment="1">
      <alignment horizontal="center"/>
    </xf>
    <xf numFmtId="0" fontId="0" fillId="0" borderId="0" xfId="0" applyAlignment="1">
      <alignment horizontal="center"/>
    </xf>
    <xf numFmtId="2" fontId="13" fillId="2" borderId="49" xfId="0" applyNumberFormat="1" applyFont="1" applyFill="1" applyBorder="1" applyAlignment="1">
      <alignment horizontal="center" vertical="center"/>
    </xf>
    <xf numFmtId="2" fontId="13" fillId="2" borderId="51" xfId="0" applyNumberFormat="1" applyFont="1" applyFill="1" applyBorder="1" applyAlignment="1">
      <alignment horizontal="center" vertical="center"/>
    </xf>
    <xf numFmtId="0" fontId="13" fillId="5" borderId="50" xfId="0" applyFont="1" applyFill="1" applyBorder="1" applyAlignment="1">
      <alignment horizontal="center" vertical="center"/>
    </xf>
    <xf numFmtId="0" fontId="13" fillId="5" borderId="70" xfId="0" applyFont="1" applyFill="1" applyBorder="1" applyAlignment="1">
      <alignment horizontal="center" vertical="center"/>
    </xf>
    <xf numFmtId="0" fontId="13" fillId="5" borderId="71" xfId="0" applyFont="1" applyFill="1" applyBorder="1" applyAlignment="1">
      <alignment horizontal="center" vertical="center"/>
    </xf>
    <xf numFmtId="0" fontId="13" fillId="5" borderId="72" xfId="0" applyFont="1" applyFill="1" applyBorder="1" applyAlignment="1">
      <alignment horizontal="center" vertical="center"/>
    </xf>
    <xf numFmtId="0" fontId="22" fillId="0" borderId="0" xfId="0" applyFont="1" applyAlignment="1">
      <alignment horizontal="left" vertical="center" wrapText="1"/>
    </xf>
    <xf numFmtId="0" fontId="22" fillId="0" borderId="0" xfId="0" applyFont="1" applyAlignment="1">
      <alignment horizontal="left" vertical="center"/>
    </xf>
  </cellXfs>
  <cellStyles count="9">
    <cellStyle name="Calculation" xfId="7" builtinId="22"/>
    <cellStyle name="Currency" xfId="5" builtinId="4"/>
    <cellStyle name="Hyperlink" xfId="8" builtinId="8"/>
    <cellStyle name="Input" xfId="1" builtinId="20"/>
    <cellStyle name="Normal" xfId="0" builtinId="0"/>
    <cellStyle name="Normal 2" xfId="2" xr:uid="{00000000-0005-0000-0000-000002000000}"/>
    <cellStyle name="Normal 3" xfId="3" xr:uid="{00000000-0005-0000-0000-000003000000}"/>
    <cellStyle name="Output" xfId="6" builtinId="21"/>
    <cellStyle name="Percent" xfId="4" builtinId="5"/>
  </cellStyles>
  <dxfs count="226">
    <dxf>
      <numFmt numFmtId="2" formatCode="0.00"/>
      <alignment horizontal="center" vertical="bottom" textRotation="0" wrapText="0" indent="0" justifyLastLine="0" shrinkToFit="0" readingOrder="0"/>
    </dxf>
    <dxf>
      <numFmt numFmtId="183" formatCode="0.000\&quot;"/>
    </dxf>
    <dxf>
      <numFmt numFmtId="182" formatCode="0.0\ \m\m"/>
    </dxf>
    <dxf>
      <fill>
        <patternFill>
          <bgColor rgb="FFFF0000"/>
        </patternFill>
      </fill>
    </dxf>
    <dxf>
      <fill>
        <patternFill>
          <bgColor rgb="FFFF0000"/>
        </patternFill>
      </fill>
    </dxf>
    <dxf>
      <numFmt numFmtId="183" formatCode="0.000\&quot;"/>
    </dxf>
    <dxf>
      <numFmt numFmtId="182" formatCode="0.0\ \m\m"/>
    </dxf>
    <dxf>
      <fill>
        <patternFill>
          <bgColor rgb="FFFF0000"/>
        </patternFill>
      </fill>
    </dxf>
    <dxf>
      <numFmt numFmtId="0" formatCode="Genera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u val="none"/>
        <vertAlign val="baseline"/>
        <sz val="1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u val="none"/>
        <vertAlign val="baseline"/>
        <sz val="11"/>
        <name val="Calibri"/>
        <family val="2"/>
        <scheme val="minor"/>
      </font>
      <alignment horizont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strike val="0"/>
        <outline val="0"/>
        <shadow val="0"/>
        <u val="none"/>
        <vertAlign val="baseline"/>
        <sz val="11"/>
        <name val="Calibri"/>
        <family val="2"/>
        <scheme val="minor"/>
      </font>
      <alignment horizont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border diagonalUp="0" diagonalDown="0" outline="0">
        <left/>
        <right style="medium">
          <color auto="1"/>
        </right>
        <top/>
        <bottom/>
      </border>
    </dxf>
    <dxf>
      <font>
        <b val="0"/>
        <i val="0"/>
        <strike val="0"/>
        <condense val="0"/>
        <extend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1"/>
        <color auto="1"/>
        <name val="Calibri"/>
        <family val="2"/>
        <scheme val="minor"/>
      </font>
      <numFmt numFmtId="166" formatCode="0.0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6" formatCode="0.00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 formatCode="0"/>
      <alignment horizontal="center" vertical="bottom" textRotation="0" wrapText="0" indent="0" justifyLastLine="0" shrinkToFit="0" readingOrder="0"/>
      <border diagonalUp="0" diagonalDown="0" outline="0">
        <left/>
        <right style="medium">
          <color auto="1"/>
        </right>
        <top/>
        <bottom/>
      </border>
      <protection locked="0" hidden="0"/>
    </dxf>
    <dxf>
      <font>
        <strike val="0"/>
        <outline val="0"/>
        <shadow val="0"/>
        <u val="none"/>
        <vertAlign val="baseline"/>
        <sz val="11"/>
        <color auto="1"/>
        <name val="Calibri"/>
        <family val="2"/>
        <scheme val="minor"/>
      </font>
      <numFmt numFmtId="1" formatCode="0"/>
      <alignment horizontal="center" vertical="bottom" textRotation="0" wrapText="0" indent="0" justifyLastLine="0" shrinkToFit="0" readingOrder="0"/>
      <border diagonalUp="0" diagonalDown="0">
        <left/>
        <right style="medium">
          <color auto="1"/>
        </right>
        <top/>
        <bottom/>
        <vertical/>
        <horizontal/>
      </border>
      <protection locked="0" hidden="0"/>
    </dxf>
    <dxf>
      <font>
        <b val="0"/>
        <i val="0"/>
        <strike val="0"/>
        <condense val="0"/>
        <extend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border diagonalUp="0" diagonalDown="0" outline="0">
        <left style="medium">
          <color auto="1"/>
        </left>
        <right/>
        <top/>
        <bottom/>
      </border>
      <protection locked="0" hidden="0"/>
    </dxf>
    <dxf>
      <font>
        <strike val="0"/>
        <outline val="0"/>
        <shadow val="0"/>
        <u val="none"/>
        <vertAlign val="baseline"/>
        <sz val="11"/>
        <color auto="1"/>
        <name val="Calibri"/>
        <family val="2"/>
        <scheme val="minor"/>
      </font>
      <numFmt numFmtId="2" formatCode="0.00"/>
      <alignment horizontal="center" vertical="bottom" textRotation="0" wrapText="0" indent="0" justifyLastLine="0" shrinkToFit="0" readingOrder="0"/>
      <border diagonalUp="0" diagonalDown="0">
        <left style="medium">
          <color auto="1"/>
        </left>
        <right/>
        <top/>
        <bottom/>
        <vertical/>
        <horizontal/>
      </border>
      <protection locked="0" hidden="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border diagonalUp="0" diagonalDown="0" outline="0">
        <left style="medium">
          <color auto="1"/>
        </left>
        <right style="medium">
          <color auto="1"/>
        </right>
        <top/>
        <bottom/>
      </border>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border diagonalUp="0" diagonalDown="0">
        <left style="medium">
          <color indexed="64"/>
        </left>
        <right style="medium">
          <color auto="1"/>
        </right>
        <top/>
        <bottom/>
        <vertical/>
        <horizontal/>
      </border>
    </dxf>
    <dxf>
      <font>
        <strike val="0"/>
        <outline val="0"/>
        <shadow val="0"/>
        <u val="none"/>
        <vertAlign val="baseline"/>
        <sz val="11"/>
        <name val="Calibri"/>
        <family val="2"/>
        <scheme val="minor"/>
      </font>
    </dxf>
    <dxf>
      <border>
        <bottom style="medium">
          <color indexed="64"/>
        </bottom>
      </border>
    </dxf>
    <dxf>
      <font>
        <b/>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right/>
        <top/>
        <bottom/>
      </border>
    </dxf>
    <dxf>
      <fill>
        <patternFill>
          <bgColor theme="7" tint="0.59996337778862885"/>
        </patternFill>
      </fill>
    </dxf>
    <dxf>
      <fill>
        <patternFill>
          <bgColor theme="7" tint="0.59996337778862885"/>
        </patternFill>
      </fill>
    </dxf>
    <dxf>
      <border>
        <left/>
        <right style="dashDot">
          <color auto="1"/>
        </right>
        <top/>
        <bottom/>
        <vertical/>
        <horizontal/>
      </border>
    </dxf>
    <dxf>
      <border>
        <left/>
        <right/>
        <top/>
        <bottom style="dashDot">
          <color auto="1"/>
        </bottom>
        <vertical/>
        <horizontal/>
      </border>
    </dxf>
    <dxf>
      <border>
        <right style="dashDot">
          <color auto="1"/>
        </right>
        <bottom style="dashDot">
          <color auto="1"/>
        </bottom>
        <vertical/>
        <horizontal/>
      </border>
    </dxf>
    <dxf>
      <numFmt numFmtId="0" formatCode="General"/>
    </dxf>
    <dxf>
      <border outline="0">
        <left style="thin">
          <color auto="1"/>
        </left>
        <right style="medium">
          <color auto="1"/>
        </right>
        <top style="thin">
          <color auto="1"/>
        </top>
        <bottom style="hair">
          <color auto="1"/>
        </bottom>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numFmt numFmtId="0" formatCode="General"/>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ill>
        <patternFill patternType="none">
          <bgColor auto="1"/>
        </patternFill>
      </fill>
      <alignment horizontal="center" vertical="bottom" textRotation="0" wrapText="0"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indexed="65"/>
        </patternFill>
      </fill>
      <alignment horizontal="center" vertical="bottom" textRotation="0" wrapText="0" indent="0" justifyLastLine="0" shrinkToFit="0" readingOrder="0"/>
      <border diagonalUp="0" diagonalDown="0">
        <left style="hair">
          <color auto="1"/>
        </left>
        <right style="hair">
          <color auto="1"/>
        </right>
        <top style="hair">
          <color auto="1"/>
        </top>
        <bottom style="hair">
          <color auto="1"/>
        </bottom>
        <vertical/>
        <horizontal/>
      </border>
    </dxf>
    <dxf>
      <fill>
        <patternFill patternType="none">
          <bgColor auto="1"/>
        </patternFill>
      </fill>
      <alignment horizontal="center" vertical="bottom" textRotation="0" wrapText="0" indent="0" justifyLastLine="0" shrinkToFit="0" readingOrder="0"/>
      <border diagonalUp="0" diagonalDown="0" outline="0">
        <left style="hair">
          <color auto="1"/>
        </left>
        <right style="hair">
          <color auto="1"/>
        </right>
        <top style="hair">
          <color auto="1"/>
        </top>
        <bottom style="hair">
          <color auto="1"/>
        </bottom>
      </border>
    </dxf>
    <dxf>
      <fill>
        <patternFill patternType="none">
          <bgColor auto="1"/>
        </patternFill>
      </fill>
      <alignment horizontal="center" vertical="bottom" textRotation="0" wrapText="0" indent="0" justifyLastLine="0" shrinkToFit="0" readingOrder="0"/>
      <border diagonalUp="0" diagonalDown="0" outline="0">
        <left style="hair">
          <color auto="1"/>
        </left>
        <right style="hair">
          <color auto="1"/>
        </right>
        <top style="hair">
          <color auto="1"/>
        </top>
        <bottom style="hair">
          <color auto="1"/>
        </bottom>
      </border>
    </dxf>
    <dxf>
      <numFmt numFmtId="1" formatCode="0"/>
      <fill>
        <patternFill patternType="none">
          <bgColor auto="1"/>
        </patternFill>
      </fill>
      <alignment horizontal="center" vertical="bottom" textRotation="0" wrapText="0" indent="0" justifyLastLine="0" shrinkToFit="0" readingOrder="0"/>
      <border diagonalUp="0" diagonalDown="0" outline="0">
        <left/>
        <right style="hair">
          <color auto="1"/>
        </right>
        <top style="hair">
          <color auto="1"/>
        </top>
        <bottom style="hair">
          <color auto="1"/>
        </bottom>
      </border>
    </dxf>
    <dxf>
      <border outline="0">
        <top style="hair">
          <color auto="1"/>
        </top>
      </border>
    </dxf>
    <dxf>
      <border outline="0">
        <left style="double">
          <color auto="1"/>
        </left>
        <top style="hair">
          <color auto="1"/>
        </top>
        <bottom style="hair">
          <color auto="1"/>
        </bottom>
      </border>
    </dxf>
    <dxf>
      <fill>
        <patternFill patternType="none">
          <bgColor auto="1"/>
        </patternFill>
      </fill>
      <alignment horizontal="center" vertical="bottom" textRotation="0" wrapText="0" indent="0" justifyLastLine="0" shrinkToFit="0" readingOrder="0"/>
    </dxf>
    <dxf>
      <border outline="0">
        <bottom style="hair">
          <color auto="1"/>
        </bottom>
      </border>
    </dxf>
    <dxf>
      <font>
        <b val="0"/>
        <strike val="0"/>
        <outline val="0"/>
        <shadow val="0"/>
        <u val="none"/>
        <vertAlign val="baseline"/>
        <sz val="11"/>
        <color auto="1"/>
        <name val="Calibri"/>
        <family val="2"/>
        <scheme val="minor"/>
      </font>
      <fill>
        <patternFill patternType="none">
          <bgColor auto="1"/>
        </patternFill>
      </fill>
    </dxf>
    <dxf>
      <alignment horizontal="center" vertical="bottom" textRotation="0" wrapText="0" indent="0" justifyLastLine="0" shrinkToFit="0" readingOrder="0"/>
      <border diagonalUp="0" diagonalDown="0">
        <left style="thin">
          <color auto="1"/>
        </left>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border diagonalUp="0" diagonalDown="0">
        <left/>
        <right style="thin">
          <color auto="1"/>
        </right>
        <top style="hair">
          <color auto="1"/>
        </top>
        <bottom style="hair">
          <color auto="1"/>
        </bottom>
        <vertical/>
        <horizontal/>
      </border>
    </dxf>
    <dxf>
      <border diagonalUp="0" diagonalDown="0">
        <left/>
        <right style="thin">
          <color auto="1"/>
        </right>
        <top style="hair">
          <color auto="1"/>
        </top>
        <bottom style="hair">
          <color auto="1"/>
        </bottom>
        <vertical/>
        <horizontal/>
      </border>
    </dxf>
    <dxf>
      <border outline="0">
        <left style="medium">
          <color auto="1"/>
        </left>
        <right style="medium">
          <color auto="1"/>
        </right>
        <top style="thin">
          <color auto="1"/>
        </top>
        <bottom style="medium">
          <color auto="1"/>
        </bottom>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border diagonalUp="0" diagonalDown="0">
        <left style="thin">
          <color auto="1"/>
        </left>
        <right style="thin">
          <color auto="1"/>
        </right>
        <top style="hair">
          <color auto="1"/>
        </top>
        <bottom/>
        <vertical/>
        <horizontal/>
      </border>
    </dxf>
    <dxf>
      <border diagonalUp="0" diagonalDown="0">
        <left/>
        <right style="thin">
          <color auto="1"/>
        </right>
        <top style="hair">
          <color auto="1"/>
        </top>
        <bottom/>
        <vertical/>
        <horizontal/>
      </border>
    </dxf>
    <dxf>
      <border diagonalUp="0" diagonalDown="0">
        <left/>
        <right style="thin">
          <color auto="1"/>
        </right>
        <top style="hair">
          <color auto="1"/>
        </top>
        <bottom/>
        <vertical/>
        <horizontal/>
      </border>
    </dxf>
    <dxf>
      <border outline="0">
        <left style="medium">
          <color auto="1"/>
        </left>
        <right style="medium">
          <color auto="1"/>
        </right>
        <top style="thin">
          <color auto="1"/>
        </top>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numFmt numFmtId="165" formatCode="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auto="1"/>
        </left>
        <right style="medium">
          <color auto="1"/>
        </right>
        <top style="hair">
          <color auto="1"/>
        </top>
        <bottom style="hair">
          <color auto="1"/>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auto="1"/>
        </left>
        <right style="thin">
          <color auto="1"/>
        </right>
        <top style="hair">
          <color auto="1"/>
        </top>
        <bottom style="hair">
          <color auto="1"/>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auto="1"/>
        </left>
        <right style="thin">
          <color auto="1"/>
        </right>
        <top style="hair">
          <color auto="1"/>
        </top>
        <bottom style="hair">
          <color auto="1"/>
        </bottom>
        <vertical/>
        <horizontal/>
      </border>
    </dxf>
    <dxf>
      <alignment horizontal="center" vertical="bottom" textRotation="0" wrapText="0" indent="0" justifyLastLine="0" shrinkToFit="0" readingOrder="0"/>
      <border diagonalUp="0" diagonalDown="0">
        <left style="thin">
          <color auto="1"/>
        </left>
        <right style="thin">
          <color auto="1"/>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auto="1"/>
        </right>
        <top style="hair">
          <color auto="1"/>
        </top>
        <bottom style="hair">
          <color auto="1"/>
        </bottom>
        <vertical/>
        <horizontal/>
      </border>
    </dxf>
    <dxf>
      <border outline="0">
        <left style="medium">
          <color auto="1"/>
        </left>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dxf>
    <dxf>
      <font>
        <strike val="0"/>
        <outline val="0"/>
        <shadow val="0"/>
        <u val="none"/>
        <vertAlign val="baseline"/>
        <sz val="11"/>
        <color auto="1"/>
        <name val="Calibri"/>
        <family val="2"/>
        <scheme val="minor"/>
      </font>
    </dxf>
    <dxf>
      <alignment horizontal="center" vertical="bottom" textRotation="0" wrapText="0" indent="0" justifyLastLine="0" shrinkToFit="0" readingOrder="0"/>
      <border diagonalUp="0" diagonalDown="0">
        <left style="thin">
          <color auto="1"/>
        </left>
        <right/>
        <top style="hair">
          <color auto="1"/>
        </top>
        <bottom style="hair">
          <color auto="1"/>
        </bottom>
        <vertical style="thin">
          <color auto="1"/>
        </vertical>
        <horizontal style="hair">
          <color auto="1"/>
        </horizontal>
      </border>
    </dxf>
    <dxf>
      <alignment horizontal="center" vertical="bottom" textRotation="0" wrapText="0" indent="0" justifyLastLine="0" shrinkToFit="0" readingOrder="0"/>
      <border diagonalUp="0" diagonalDown="0">
        <left style="thin">
          <color auto="1"/>
        </left>
        <right style="thin">
          <color auto="1"/>
        </right>
        <top style="hair">
          <color auto="1"/>
        </top>
        <bottom style="hair">
          <color auto="1"/>
        </bottom>
        <vertical style="thin">
          <color auto="1"/>
        </vertical>
        <horizontal style="hair">
          <color auto="1"/>
        </horizontal>
      </border>
    </dxf>
    <dxf>
      <border diagonalUp="0" diagonalDown="0">
        <left style="thin">
          <color auto="1"/>
        </left>
        <right style="thin">
          <color auto="1"/>
        </right>
        <top style="hair">
          <color auto="1"/>
        </top>
        <bottom style="hair">
          <color auto="1"/>
        </bottom>
        <vertical style="thin">
          <color auto="1"/>
        </vertical>
        <horizontal style="hair">
          <color auto="1"/>
        </horizontal>
      </border>
    </dxf>
    <dxf>
      <border diagonalUp="0" diagonalDown="0">
        <left style="thin">
          <color auto="1"/>
        </left>
        <right style="thin">
          <color auto="1"/>
        </right>
        <top style="hair">
          <color auto="1"/>
        </top>
        <bottom style="hair">
          <color auto="1"/>
        </bottom>
        <vertical style="thin">
          <color auto="1"/>
        </vertical>
        <horizontal style="hair">
          <color auto="1"/>
        </horizontal>
      </border>
    </dxf>
    <dxf>
      <border diagonalUp="0" diagonalDown="0">
        <left style="thin">
          <color auto="1"/>
        </left>
        <right style="thin">
          <color auto="1"/>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style="thin">
          <color auto="1"/>
        </vertical>
        <horizontal style="hair">
          <color auto="1"/>
        </horizontal>
      </border>
    </dxf>
    <dxf>
      <border diagonalUp="0" diagonalDown="0">
        <left/>
        <right style="thin">
          <color auto="1"/>
        </right>
        <top style="hair">
          <color auto="1"/>
        </top>
        <bottom style="hair">
          <color auto="1"/>
        </bottom>
        <vertical style="thin">
          <color auto="1"/>
        </vertical>
        <horizontal style="hair">
          <color auto="1"/>
        </horizontal>
      </border>
    </dxf>
    <dxf>
      <border outline="0">
        <left style="medium">
          <color auto="1"/>
        </left>
        <right style="medium">
          <color auto="1"/>
        </right>
        <top style="thin">
          <color auto="1"/>
        </top>
        <bottom style="medium">
          <color auto="1"/>
        </bottom>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thin">
          <color auto="1"/>
        </left>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border diagonalUp="0" diagonalDown="0">
        <left style="thin">
          <color auto="1"/>
        </left>
        <right style="thin">
          <color auto="1"/>
        </right>
        <top style="hair">
          <color auto="1"/>
        </top>
        <bottom style="hair">
          <color auto="1"/>
        </bottom>
        <vertical/>
        <horizontal/>
      </border>
    </dxf>
    <dxf>
      <border outline="0">
        <left style="medium">
          <color auto="1"/>
        </left>
        <right style="medium">
          <color auto="1"/>
        </right>
        <top style="thin">
          <color auto="1"/>
        </top>
        <bottom style="medium">
          <color auto="1"/>
        </bottom>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numFmt numFmtId="2" formatCode="0.00"/>
      <fill>
        <patternFill patternType="none">
          <fgColor indexed="64"/>
          <bgColor auto="1"/>
        </patternFill>
      </fill>
      <alignment horizontal="center" vertical="bottom" textRotation="0" wrapText="0" indent="0" justifyLastLine="0" shrinkToFit="0" readingOrder="0"/>
    </dxf>
    <dxf>
      <numFmt numFmtId="165" formatCode="0.0"/>
      <fill>
        <patternFill patternType="solid">
          <fgColor indexed="64"/>
          <bgColor theme="0" tint="-0.499984740745262"/>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border diagonalUp="0" diagonalDown="0" outline="0">
        <left style="thin">
          <color auto="1"/>
        </left>
        <right/>
        <top style="hair">
          <color auto="1"/>
        </top>
        <bottom/>
      </border>
    </dxf>
    <dxf>
      <numFmt numFmtId="1" formatCode="0"/>
      <alignment horizontal="center" vertical="bottom" textRotation="0" wrapText="0" indent="0" justifyLastLine="0" shrinkToFit="0" readingOrder="0"/>
      <border diagonalUp="0" diagonalDown="0">
        <left style="thin">
          <color auto="1"/>
        </left>
        <right/>
        <top style="hair">
          <color auto="1"/>
        </top>
        <bottom/>
        <vertical/>
        <horizontal/>
      </border>
    </dxf>
    <dxf>
      <alignment horizontal="center" vertical="bottom" textRotation="0" wrapText="0" indent="0" justifyLastLine="0" shrinkToFit="0" readingOrder="0"/>
      <border diagonalUp="0" diagonalDown="0">
        <left style="thin">
          <color auto="1"/>
        </left>
        <right style="thin">
          <color auto="1"/>
        </right>
        <top style="hair">
          <color auto="1"/>
        </top>
        <bottom/>
        <vertical/>
        <horizontal/>
      </border>
    </dxf>
    <dxf>
      <numFmt numFmtId="2" formatCode="0.00"/>
      <alignment horizontal="center" vertical="bottom" textRotation="0" wrapText="0" indent="0" justifyLastLine="0" shrinkToFit="0" readingOrder="0"/>
      <border diagonalUp="0" diagonalDown="0">
        <left style="thin">
          <color auto="1"/>
        </left>
        <right style="thin">
          <color auto="1"/>
        </right>
        <top style="hair">
          <color auto="1"/>
        </top>
        <bottom/>
        <vertical/>
        <horizontal/>
      </border>
    </dxf>
    <dxf>
      <numFmt numFmtId="2" formatCode="0.00"/>
      <alignment horizontal="center" vertical="bottom" textRotation="0" wrapText="0" indent="0" justifyLastLine="0" shrinkToFit="0" readingOrder="0"/>
      <border diagonalUp="0" diagonalDown="0">
        <left style="thin">
          <color auto="1"/>
        </left>
        <right style="thin">
          <color auto="1"/>
        </right>
        <top style="hair">
          <color auto="1"/>
        </top>
        <bottom/>
        <vertical/>
        <horizontal/>
      </border>
    </dxf>
    <dxf>
      <alignment horizontal="center" vertical="bottom" textRotation="0" wrapText="0" indent="0" justifyLastLine="0" shrinkToFit="0" readingOrder="0"/>
      <border diagonalUp="0" diagonalDown="0">
        <left style="thin">
          <color auto="1"/>
        </left>
        <right style="thin">
          <color auto="1"/>
        </right>
        <top style="hair">
          <color auto="1"/>
        </top>
        <bottom/>
        <vertical/>
        <horizontal/>
      </border>
    </dxf>
    <dxf>
      <border diagonalUp="0" diagonalDown="0">
        <left style="thin">
          <color auto="1"/>
        </left>
        <right style="thin">
          <color auto="1"/>
        </right>
        <top style="hair">
          <color auto="1"/>
        </top>
        <bottom/>
        <vertical/>
        <horizontal/>
      </border>
    </dxf>
    <dxf>
      <border diagonalUp="0" diagonalDown="0">
        <left/>
        <right style="thin">
          <color auto="1"/>
        </right>
        <top style="hair">
          <color auto="1"/>
        </top>
        <bottom/>
        <vertical/>
        <horizontal/>
      </border>
    </dxf>
    <dxf>
      <border outline="0">
        <left style="thin">
          <color auto="1"/>
        </left>
        <right style="medium">
          <color auto="1"/>
        </right>
        <top style="thin">
          <color auto="1"/>
        </top>
        <bottom style="hair">
          <color auto="1"/>
        </bottom>
      </border>
    </dxf>
    <dxf>
      <border outline="0">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ill>
        <patternFill>
          <bgColor rgb="FF92D050"/>
        </patternFill>
      </fill>
    </dxf>
    <dxf>
      <fill>
        <patternFill>
          <bgColor rgb="FF92D050"/>
        </patternFill>
      </fill>
    </dxf>
    <dxf>
      <numFmt numFmtId="184" formatCode="#0.00\ \m\m;#0.00\ \m\m"/>
    </dxf>
    <dxf>
      <numFmt numFmtId="185" formatCode="#0.000\ \i\n;#0.000\ \i\n"/>
    </dxf>
    <dxf>
      <fill>
        <patternFill>
          <bgColor rgb="FFFF0000"/>
        </patternFill>
      </fill>
    </dxf>
    <dxf>
      <fill>
        <patternFill>
          <bgColor rgb="FF92D050"/>
        </patternFill>
      </fill>
    </dxf>
    <dxf>
      <fill>
        <patternFill>
          <bgColor rgb="FF92D050"/>
        </patternFill>
      </fill>
    </dxf>
    <dxf>
      <fill>
        <patternFill>
          <bgColor rgb="FF00B050"/>
        </patternFill>
      </fill>
    </dxf>
    <dxf>
      <font>
        <color theme="1" tint="0.499984740745262"/>
      </font>
      <fill>
        <patternFill>
          <bgColor theme="1" tint="0.499984740745262"/>
        </patternFill>
      </fill>
    </dxf>
    <dxf>
      <fill>
        <patternFill>
          <bgColor rgb="FFB7D4E3"/>
        </patternFill>
      </fill>
    </dxf>
    <dxf>
      <fill>
        <patternFill>
          <bgColor rgb="FF3FBAD4"/>
        </patternFill>
      </fill>
    </dxf>
    <dxf>
      <numFmt numFmtId="164" formatCode="0.000"/>
    </dxf>
    <dxf>
      <numFmt numFmtId="165" formatCode="0.0"/>
    </dxf>
    <dxf>
      <fill>
        <patternFill>
          <bgColor theme="0" tint="-0.499984740745262"/>
        </patternFill>
      </fill>
    </dxf>
    <dxf>
      <fill>
        <patternFill>
          <bgColor rgb="FFB0E1EB"/>
        </patternFill>
      </fill>
    </dxf>
    <dxf>
      <fill>
        <patternFill>
          <bgColor rgb="FF64C5DB"/>
        </patternFill>
      </fill>
    </dxf>
    <dxf>
      <numFmt numFmtId="170" formatCode=";;;"/>
      <fill>
        <patternFill>
          <bgColor theme="0" tint="-0.499984740745262"/>
        </patternFill>
      </fill>
    </dxf>
    <dxf>
      <font>
        <color theme="0" tint="-0.499984740745262"/>
      </font>
      <fill>
        <patternFill>
          <bgColor theme="0" tint="-0.499984740745262"/>
        </patternFill>
      </fill>
    </dxf>
    <dxf>
      <numFmt numFmtId="170" formatCode=";;;"/>
      <fill>
        <patternFill>
          <bgColor rgb="FF636B6E"/>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636B6E"/>
      </font>
      <numFmt numFmtId="170" formatCode=";;;"/>
      <fill>
        <patternFill>
          <bgColor rgb="FF636B6E"/>
        </patternFill>
      </fill>
    </dxf>
    <dxf>
      <font>
        <color rgb="FF636B6E"/>
      </font>
      <numFmt numFmtId="170" formatCode=";;;"/>
      <fill>
        <patternFill>
          <bgColor rgb="FF636B6E"/>
        </patternFill>
      </fill>
    </dxf>
    <dxf>
      <font>
        <color rgb="FF636B6E"/>
      </font>
      <numFmt numFmtId="170" formatCode=";;;"/>
      <fill>
        <patternFill>
          <bgColor rgb="FF636B6E"/>
        </patternFill>
      </fill>
    </dxf>
    <dxf>
      <numFmt numFmtId="170" formatCode=";;;"/>
      <fill>
        <patternFill>
          <bgColor rgb="FF636B6E"/>
        </patternFill>
      </fill>
    </dxf>
    <dxf>
      <font>
        <color rgb="FF636B6E"/>
      </font>
      <numFmt numFmtId="170" formatCode=";;;"/>
      <fill>
        <patternFill>
          <bgColor rgb="FF636B6E"/>
        </patternFill>
      </fill>
    </dxf>
    <dxf>
      <numFmt numFmtId="186" formatCode="0\ \m\m;\-0\ \m\m"/>
    </dxf>
    <dxf>
      <numFmt numFmtId="187" formatCode="0.00\&quot;"/>
    </dxf>
    <dxf>
      <numFmt numFmtId="186" formatCode="0\ \m\m;\-0\ \m\m"/>
    </dxf>
    <dxf>
      <font>
        <color rgb="FF636B6E"/>
      </font>
      <numFmt numFmtId="170" formatCode=";;;"/>
      <fill>
        <patternFill>
          <bgColor rgb="FF636B6E"/>
        </patternFill>
      </fill>
    </dxf>
    <dxf>
      <numFmt numFmtId="186" formatCode="0\ \m\m;\-0\ \m\m"/>
    </dxf>
    <dxf>
      <numFmt numFmtId="187" formatCode="0.00\&quot;"/>
    </dxf>
    <dxf>
      <numFmt numFmtId="186" formatCode="0\ \m\m;\-0\ \m\m"/>
    </dxf>
    <dxf>
      <font>
        <b/>
        <i val="0"/>
        <color rgb="FFFF0000"/>
      </font>
      <fill>
        <patternFill>
          <bgColor rgb="FFFFFF00"/>
        </patternFill>
      </fill>
    </dxf>
    <dxf>
      <font>
        <color rgb="FF636B6E"/>
      </font>
      <numFmt numFmtId="170" formatCode=";;;"/>
      <fill>
        <patternFill>
          <bgColor rgb="FF636B6E"/>
        </patternFill>
      </fill>
    </dxf>
    <dxf>
      <font>
        <b/>
        <i/>
        <color rgb="FFFF0000"/>
      </font>
      <fill>
        <patternFill patternType="none">
          <bgColor auto="1"/>
        </patternFill>
      </fill>
    </dxf>
    <dxf>
      <font>
        <b/>
        <i/>
        <color rgb="FFFF0000"/>
      </font>
      <fill>
        <patternFill patternType="none">
          <bgColor auto="1"/>
        </patternFill>
      </fill>
    </dxf>
    <dxf>
      <font>
        <color rgb="FF636B6E"/>
      </font>
      <fill>
        <patternFill>
          <bgColor rgb="FF636B6E"/>
        </patternFill>
      </fill>
    </dxf>
    <dxf>
      <font>
        <color rgb="FF636B6E"/>
      </font>
      <fill>
        <patternFill>
          <bgColor rgb="FF636B6E"/>
        </patternFill>
      </fill>
    </dxf>
    <dxf>
      <font>
        <b/>
        <i/>
        <color rgb="FF636B6E"/>
      </font>
      <fill>
        <patternFill>
          <bgColor rgb="FF636B6E"/>
        </patternFill>
      </fill>
    </dxf>
    <dxf>
      <font>
        <b/>
        <i/>
        <color rgb="FF636B6E"/>
      </font>
      <fill>
        <patternFill>
          <bgColor rgb="FF636B6E"/>
        </patternFill>
      </fill>
    </dxf>
    <dxf>
      <font>
        <color rgb="FF636B6E"/>
      </font>
      <fill>
        <patternFill>
          <bgColor rgb="FF636B6E"/>
        </patternFill>
      </fill>
    </dxf>
    <dxf>
      <font>
        <color rgb="FF636B6E"/>
      </font>
      <fill>
        <patternFill>
          <bgColor rgb="FF636B6E"/>
        </patternFill>
      </fill>
    </dxf>
    <dxf>
      <font>
        <b/>
        <i val="0"/>
        <strike val="0"/>
        <color rgb="FFFF0000"/>
      </font>
      <fill>
        <patternFill>
          <bgColor rgb="FFFFFF00"/>
        </patternFill>
      </fill>
    </dxf>
    <dxf>
      <font>
        <b/>
        <i val="0"/>
        <color rgb="FFFF0000"/>
      </font>
    </dxf>
    <dxf>
      <numFmt numFmtId="170" formatCode=";;;"/>
      <fill>
        <patternFill>
          <bgColor rgb="FF636B6E"/>
        </patternFill>
      </fill>
    </dxf>
    <dxf>
      <fill>
        <patternFill>
          <bgColor rgb="FFFF0000"/>
        </patternFill>
      </fill>
    </dxf>
    <dxf>
      <numFmt numFmtId="186" formatCode="0\ \m\m;\-0\ \m\m"/>
    </dxf>
    <dxf>
      <numFmt numFmtId="187" formatCode="0.00\&quot;"/>
    </dxf>
    <dxf>
      <numFmt numFmtId="186" formatCode="0\ \m\m;\-0\ \m\m"/>
    </dxf>
    <dxf>
      <numFmt numFmtId="187" formatCode="0.00\&quot;"/>
    </dxf>
    <dxf>
      <numFmt numFmtId="187" formatCode="0.00\&quot;"/>
    </dxf>
    <dxf>
      <numFmt numFmtId="186" formatCode="0\ \m\m;\-0\ \m\m"/>
    </dxf>
    <dxf>
      <numFmt numFmtId="170" formatCode=";;;"/>
      <fill>
        <patternFill>
          <bgColor rgb="FF636B6E"/>
        </patternFill>
      </fill>
    </dxf>
    <dxf>
      <numFmt numFmtId="170" formatCode=";;;"/>
      <fill>
        <patternFill>
          <bgColor rgb="FF636B6E"/>
        </patternFill>
      </fill>
    </dxf>
    <dxf>
      <numFmt numFmtId="183" formatCode="0.000\&quot;"/>
    </dxf>
    <dxf>
      <numFmt numFmtId="186" formatCode="0\ \m\m;\-0\ \m\m"/>
    </dxf>
    <dxf>
      <numFmt numFmtId="188" formatCode="0.00\ \m\m;\-0.00\ \m\m"/>
    </dxf>
    <dxf>
      <numFmt numFmtId="182" formatCode="0.0\ \m\m"/>
    </dxf>
    <dxf>
      <fill>
        <patternFill>
          <bgColor rgb="FFFF0000"/>
        </patternFill>
      </fill>
    </dxf>
    <dxf>
      <numFmt numFmtId="186" formatCode="0\ \m\m;\-0\ \m\m"/>
    </dxf>
    <dxf>
      <numFmt numFmtId="183" formatCode="0.000\&quot;"/>
    </dxf>
    <dxf>
      <numFmt numFmtId="189" formatCode="0\ \m\m"/>
    </dxf>
    <dxf>
      <numFmt numFmtId="190" formatCode="#0.00\ &quot;lb/ft&quot;;#0.00\ &quot;lb/ft&quot;"/>
    </dxf>
    <dxf>
      <numFmt numFmtId="191" formatCode="#0\ &quot;g/m&quot;;#0\ &quot;g/m&quot;"/>
    </dxf>
    <dxf>
      <numFmt numFmtId="192" formatCode="#0.000\&quot;;#0.000\&quot;"/>
    </dxf>
    <dxf>
      <numFmt numFmtId="184" formatCode="#0.00\ \m\m;#0.00\ \m\m"/>
    </dxf>
    <dxf>
      <numFmt numFmtId="193" formatCode="#0.00\ &quot;oz/yd²&quot;;#0.00\ &quot;oz/yd²&quot;"/>
    </dxf>
    <dxf>
      <numFmt numFmtId="194" formatCode="#0\ &quot;g/m²&quot;;\-#0\ &quot;g/m²&quot;"/>
    </dxf>
    <dxf>
      <fill>
        <patternFill>
          <bgColor rgb="FF636B6E"/>
        </patternFill>
      </fill>
    </dxf>
    <dxf>
      <fill>
        <patternFill>
          <bgColor rgb="FF636B6E"/>
        </patternFill>
      </fill>
    </dxf>
    <dxf>
      <numFmt numFmtId="195" formatCode="#0.000\&quot;;#0.000\&quot;;&quot;Enter Value (in)&quot;"/>
    </dxf>
    <dxf>
      <numFmt numFmtId="196" formatCode="#0.00\ \m\m;#0.00\ \m\m;&quot;Enter Value (mm)&quot;"/>
    </dxf>
    <dxf>
      <fill>
        <patternFill>
          <bgColor rgb="FFFF0000"/>
        </patternFill>
      </fill>
    </dxf>
    <dxf>
      <numFmt numFmtId="195" formatCode="#0.000\&quot;;#0.000\&quot;;&quot;Enter Value (in)&quot;"/>
    </dxf>
    <dxf>
      <numFmt numFmtId="196" formatCode="#0.00\ \m\m;#0.00\ \m\m;&quot;Enter Value (mm)&quot;"/>
    </dxf>
    <dxf>
      <numFmt numFmtId="193" formatCode="#0.00\ &quot;oz/yd²&quot;;#0.00\ &quot;oz/yd²&quot;"/>
    </dxf>
    <dxf>
      <numFmt numFmtId="194" formatCode="#0\ &quot;g/m²&quot;;\-#0\ &quot;g/m²&quot;"/>
    </dxf>
    <dxf>
      <numFmt numFmtId="170" formatCode=";;;"/>
      <fill>
        <patternFill>
          <bgColor rgb="FF636B6E"/>
        </patternFill>
      </fill>
    </dxf>
    <dxf>
      <numFmt numFmtId="170" formatCode=";;;"/>
      <fill>
        <patternFill>
          <bgColor rgb="FF636B6E"/>
        </patternFill>
      </fill>
    </dxf>
    <dxf>
      <numFmt numFmtId="187" formatCode="0.00\&quot;"/>
    </dxf>
    <dxf>
      <numFmt numFmtId="186" formatCode="0\ \m\m;\-0\ \m\m"/>
    </dxf>
    <dxf>
      <numFmt numFmtId="187" formatCode="0.00\&quot;"/>
    </dxf>
    <dxf>
      <numFmt numFmtId="187" formatCode="0.00\&quot;"/>
    </dxf>
    <dxf>
      <numFmt numFmtId="182" formatCode="0.0\ \m\m"/>
    </dxf>
    <dxf>
      <font>
        <color theme="0" tint="-0.499984740745262"/>
      </font>
      <numFmt numFmtId="170" formatCode=";;;"/>
      <fill>
        <patternFill>
          <bgColor rgb="FF636B6E"/>
        </patternFill>
      </fill>
    </dxf>
    <dxf>
      <numFmt numFmtId="170" formatCode=";;;"/>
      <fill>
        <patternFill>
          <bgColor rgb="FF636B6E"/>
        </patternFill>
      </fill>
    </dxf>
    <dxf>
      <fill>
        <patternFill>
          <bgColor rgb="FFFF0000"/>
        </patternFill>
      </fill>
    </dxf>
    <dxf>
      <numFmt numFmtId="197" formatCode="0.0\ \k\g"/>
    </dxf>
    <dxf>
      <numFmt numFmtId="198" formatCode="0.0\ \l\b"/>
    </dxf>
    <dxf>
      <fill>
        <patternFill>
          <bgColor rgb="FFFF0000"/>
        </patternFill>
      </fill>
    </dxf>
    <dxf>
      <fill>
        <patternFill>
          <bgColor rgb="FFFF0000"/>
        </patternFill>
      </fill>
    </dxf>
    <dxf>
      <fill>
        <patternFill>
          <bgColor rgb="FFFF0000"/>
        </patternFill>
      </fill>
    </dxf>
    <dxf>
      <font>
        <color rgb="FF636B6E"/>
      </font>
      <numFmt numFmtId="170" formatCode=";;;"/>
      <fill>
        <patternFill>
          <bgColor rgb="FF636B6E"/>
        </patternFill>
      </fill>
    </dxf>
    <dxf>
      <font>
        <color theme="0" tint="-0.499984740745262"/>
      </font>
      <numFmt numFmtId="170" formatCode=";;;"/>
      <fill>
        <patternFill>
          <bgColor rgb="FF636B6E"/>
        </patternFill>
      </fill>
    </dxf>
    <dxf>
      <numFmt numFmtId="170" formatCode=";;;"/>
      <fill>
        <patternFill>
          <bgColor rgb="FF636B6E"/>
        </patternFill>
      </fill>
    </dxf>
    <dxf>
      <numFmt numFmtId="170" formatCode=";;;"/>
      <fill>
        <patternFill>
          <bgColor rgb="FF636B6E"/>
        </patternFill>
      </fill>
    </dxf>
    <dxf>
      <fill>
        <patternFill>
          <bgColor rgb="FFFF0000"/>
        </patternFill>
      </fill>
    </dxf>
  </dxfs>
  <tableStyles count="0" defaultTableStyle="TableStyleMedium2" defaultPivotStyle="PivotStyleLight16"/>
  <colors>
    <mruColors>
      <color rgb="FF636B6E"/>
      <color rgb="FFB0E1EB"/>
      <color rgb="FFF5FAFD"/>
      <color rgb="FF00B050"/>
      <color rgb="FF2A3237"/>
      <color rgb="FF64C5DB"/>
      <color rgb="FFB7D4E3"/>
      <color rgb="FF3FBAD4"/>
      <color rgb="FF89D4E3"/>
      <color rgb="FF00A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microsoft.com/office/2006/relationships/vbaProject" Target="vbaProject.bin"/><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50" b="1" i="0" u="none" strike="noStrike" baseline="0">
                <a:solidFill>
                  <a:srgbClr val="000000"/>
                </a:solidFill>
                <a:latin typeface="Arial"/>
                <a:ea typeface="Arial"/>
                <a:cs typeface="Arial"/>
              </a:defRPr>
            </a:pPr>
            <a:r>
              <a:rPr lang="en-AU"/>
              <a:t>Blind Torque (Nm) vs</a:t>
            </a:r>
            <a:r>
              <a:rPr lang="en-AU" baseline="0"/>
              <a:t> # Tube Turns</a:t>
            </a:r>
            <a:endParaRPr lang="en-AU"/>
          </a:p>
        </c:rich>
      </c:tx>
      <c:layout>
        <c:manualLayout>
          <c:xMode val="edge"/>
          <c:yMode val="edge"/>
          <c:x val="0.3337529910049829"/>
          <c:y val="7.3768033294414309E-2"/>
        </c:manualLayout>
      </c:layout>
      <c:overlay val="0"/>
      <c:spPr>
        <a:noFill/>
        <a:ln w="25400">
          <a:noFill/>
        </a:ln>
      </c:spPr>
    </c:title>
    <c:autoTitleDeleted val="0"/>
    <c:plotArea>
      <c:layout>
        <c:manualLayout>
          <c:layoutTarget val="inner"/>
          <c:xMode val="edge"/>
          <c:yMode val="edge"/>
          <c:x val="0.10066239287082934"/>
          <c:y val="0.17731419715071201"/>
          <c:w val="0.87175940696976506"/>
          <c:h val="0.71824237822470094"/>
        </c:manualLayout>
      </c:layout>
      <c:scatterChart>
        <c:scatterStyle val="smoothMarker"/>
        <c:varyColors val="0"/>
        <c:ser>
          <c:idx val="0"/>
          <c:order val="0"/>
          <c:tx>
            <c:v>"Tube Torque - No Booster"</c:v>
          </c:tx>
          <c:trendline>
            <c:trendlineType val="poly"/>
            <c:order val="2"/>
            <c:dispRSqr val="1"/>
            <c:dispEq val="1"/>
            <c:trendlineLbl>
              <c:layout>
                <c:manualLayout>
                  <c:x val="-0.21730071241905069"/>
                  <c:y val="0.18675473541783608"/>
                </c:manualLayout>
              </c:layout>
              <c:numFmt formatCode="#,##0.000000" sourceLinked="0"/>
            </c:trendlineLbl>
          </c:trendline>
          <c:xVal>
            <c:numRef>
              <c:f>_LiveData!$C$11:$C$100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xVal>
          <c:yVal>
            <c:numRef>
              <c:f>_LiveData!$O$11:$O$100</c:f>
              <c:numCache>
                <c:formatCode>0.00000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formatCode="0.000">
                  <c:v>0</c:v>
                </c:pt>
                <c:pt idx="31" formatCode="0.000">
                  <c:v>0</c:v>
                </c:pt>
                <c:pt idx="32" formatCode="0.000">
                  <c:v>0</c:v>
                </c:pt>
                <c:pt idx="33" formatCode="0.000">
                  <c:v>0</c:v>
                </c:pt>
                <c:pt idx="34" formatCode="0.00">
                  <c:v>0</c:v>
                </c:pt>
                <c:pt idx="35" formatCode="0.00">
                  <c:v>0</c:v>
                </c:pt>
                <c:pt idx="36" formatCode="0.00">
                  <c:v>0</c:v>
                </c:pt>
                <c:pt idx="37" formatCode="0.00">
                  <c:v>0</c:v>
                </c:pt>
                <c:pt idx="38" formatCode="0.00">
                  <c:v>0</c:v>
                </c:pt>
                <c:pt idx="39" formatCode="0.00">
                  <c:v>0</c:v>
                </c:pt>
                <c:pt idx="40" formatCode="0.00">
                  <c:v>0</c:v>
                </c:pt>
                <c:pt idx="41" formatCode="0.00">
                  <c:v>0</c:v>
                </c:pt>
                <c:pt idx="42" formatCode="0.00">
                  <c:v>0</c:v>
                </c:pt>
                <c:pt idx="43" formatCode="0.00">
                  <c:v>0</c:v>
                </c:pt>
                <c:pt idx="44" formatCode="0.00">
                  <c:v>0</c:v>
                </c:pt>
                <c:pt idx="45" formatCode="0.00">
                  <c:v>0</c:v>
                </c:pt>
                <c:pt idx="46" formatCode="0.00">
                  <c:v>0</c:v>
                </c:pt>
                <c:pt idx="47" formatCode="0.00">
                  <c:v>0</c:v>
                </c:pt>
                <c:pt idx="48" formatCode="0.00">
                  <c:v>0</c:v>
                </c:pt>
                <c:pt idx="49" formatCode="0.00">
                  <c:v>0</c:v>
                </c:pt>
                <c:pt idx="50" formatCode="0.00">
                  <c:v>0</c:v>
                </c:pt>
                <c:pt idx="51" formatCode="0.00">
                  <c:v>0</c:v>
                </c:pt>
                <c:pt idx="52" formatCode="0.00">
                  <c:v>0</c:v>
                </c:pt>
                <c:pt idx="53" formatCode="0.00">
                  <c:v>0</c:v>
                </c:pt>
                <c:pt idx="54" formatCode="0.00">
                  <c:v>0</c:v>
                </c:pt>
                <c:pt idx="55" formatCode="0.00">
                  <c:v>0</c:v>
                </c:pt>
                <c:pt idx="56" formatCode="0.00">
                  <c:v>0</c:v>
                </c:pt>
                <c:pt idx="57" formatCode="0.00">
                  <c:v>0</c:v>
                </c:pt>
                <c:pt idx="58" formatCode="0.00">
                  <c:v>0</c:v>
                </c:pt>
                <c:pt idx="59" formatCode="0.00">
                  <c:v>0</c:v>
                </c:pt>
                <c:pt idx="60" formatCode="0.00">
                  <c:v>0</c:v>
                </c:pt>
                <c:pt idx="61" formatCode="0.00">
                  <c:v>0</c:v>
                </c:pt>
                <c:pt idx="62" formatCode="0.00">
                  <c:v>0</c:v>
                </c:pt>
                <c:pt idx="63" formatCode="0.00">
                  <c:v>0</c:v>
                </c:pt>
                <c:pt idx="64" formatCode="0.00">
                  <c:v>0</c:v>
                </c:pt>
                <c:pt idx="65" formatCode="0.00">
                  <c:v>0</c:v>
                </c:pt>
                <c:pt idx="66" formatCode="0.00">
                  <c:v>0</c:v>
                </c:pt>
                <c:pt idx="67" formatCode="0.00">
                  <c:v>0</c:v>
                </c:pt>
                <c:pt idx="68" formatCode="0.00">
                  <c:v>0</c:v>
                </c:pt>
                <c:pt idx="69" formatCode="0.00">
                  <c:v>0</c:v>
                </c:pt>
                <c:pt idx="70" formatCode="0.00">
                  <c:v>0</c:v>
                </c:pt>
                <c:pt idx="71" formatCode="0.00">
                  <c:v>0</c:v>
                </c:pt>
                <c:pt idx="72" formatCode="0.00">
                  <c:v>0</c:v>
                </c:pt>
                <c:pt idx="73" formatCode="0.00">
                  <c:v>0</c:v>
                </c:pt>
                <c:pt idx="74" formatCode="0.00">
                  <c:v>0</c:v>
                </c:pt>
                <c:pt idx="75" formatCode="0.00">
                  <c:v>0</c:v>
                </c:pt>
                <c:pt idx="76" formatCode="0.00">
                  <c:v>0</c:v>
                </c:pt>
                <c:pt idx="77" formatCode="0.00">
                  <c:v>0</c:v>
                </c:pt>
                <c:pt idx="78" formatCode="0.00">
                  <c:v>0</c:v>
                </c:pt>
                <c:pt idx="79" formatCode="0.00">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88" formatCode="0.00">
                  <c:v>0</c:v>
                </c:pt>
                <c:pt idx="89" formatCode="0.00">
                  <c:v>0</c:v>
                </c:pt>
              </c:numCache>
            </c:numRef>
          </c:yVal>
          <c:smooth val="1"/>
          <c:extLst>
            <c:ext xmlns:c16="http://schemas.microsoft.com/office/drawing/2014/chart" uri="{C3380CC4-5D6E-409C-BE32-E72D297353CC}">
              <c16:uniqueId val="{00000001-0D66-4B67-BBAB-27A0A4B54C5C}"/>
            </c:ext>
          </c:extLst>
        </c:ser>
        <c:ser>
          <c:idx val="1"/>
          <c:order val="1"/>
          <c:tx>
            <c:v>"Booster Torque"</c:v>
          </c:tx>
          <c:trendline>
            <c:trendlineType val="linear"/>
            <c:dispRSqr val="1"/>
            <c:dispEq val="1"/>
            <c:trendlineLbl>
              <c:layout>
                <c:manualLayout>
                  <c:x val="-0.20562433221858986"/>
                  <c:y val="-3.3634335191890623E-2"/>
                </c:manualLayout>
              </c:layout>
              <c:numFmt formatCode="#,##0.000" sourceLinked="0"/>
            </c:trendlineLbl>
          </c:trendline>
          <c:xVal>
            <c:numRef>
              <c:f>_LiveData!$C$11:$C$100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xVal>
          <c:yVal>
            <c:numRef>
              <c:f>_LiveData!$AB$11:$AB$100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yVal>
          <c:smooth val="1"/>
          <c:extLst xmlns:c15="http://schemas.microsoft.com/office/drawing/2012/chart">
            <c:ext xmlns:c16="http://schemas.microsoft.com/office/drawing/2014/chart" uri="{C3380CC4-5D6E-409C-BE32-E72D297353CC}">
              <c16:uniqueId val="{00000003-0D66-4B67-BBAB-27A0A4B54C5C}"/>
            </c:ext>
          </c:extLst>
        </c:ser>
        <c:dLbls>
          <c:showLegendKey val="0"/>
          <c:showVal val="0"/>
          <c:showCatName val="0"/>
          <c:showSerName val="0"/>
          <c:showPercent val="0"/>
          <c:showBubbleSize val="0"/>
        </c:dLbls>
        <c:axId val="716307808"/>
        <c:axId val="716314880"/>
        <c:extLst>
          <c:ext xmlns:c15="http://schemas.microsoft.com/office/drawing/2012/chart" uri="{02D57815-91ED-43cb-92C2-25804820EDAC}">
            <c15:filteredScatterSeries>
              <c15:ser>
                <c:idx val="2"/>
                <c:order val="2"/>
                <c:xVal>
                  <c:numLit>
                    <c:formatCode>General</c:formatCode>
                    <c:ptCount val="90"/>
                    <c:pt idx="0">
                      <c:v>0</c:v>
                    </c:pt>
                    <c:pt idx="1">
                      <c:v>0.5</c:v>
                    </c:pt>
                    <c:pt idx="2">
                      <c:v>1</c:v>
                    </c:pt>
                    <c:pt idx="3">
                      <c:v>1.5</c:v>
                    </c:pt>
                    <c:pt idx="4">
                      <c:v>2</c:v>
                    </c:pt>
                    <c:pt idx="5">
                      <c:v>2.5</c:v>
                    </c:pt>
                    <c:pt idx="6">
                      <c:v>3</c:v>
                    </c:pt>
                    <c:pt idx="7">
                      <c:v>3.5</c:v>
                    </c:pt>
                    <c:pt idx="8">
                      <c:v>4</c:v>
                    </c:pt>
                    <c:pt idx="9">
                      <c:v>4.5</c:v>
                    </c:pt>
                    <c:pt idx="10">
                      <c:v>5</c:v>
                    </c:pt>
                    <c:pt idx="11">
                      <c:v>5.5</c:v>
                    </c:pt>
                    <c:pt idx="12">
                      <c:v>6</c:v>
                    </c:pt>
                    <c:pt idx="13">
                      <c:v>6.5</c:v>
                    </c:pt>
                    <c:pt idx="14">
                      <c:v>7</c:v>
                    </c:pt>
                    <c:pt idx="15">
                      <c:v>7.5</c:v>
                    </c:pt>
                    <c:pt idx="16">
                      <c:v>8</c:v>
                    </c:pt>
                    <c:pt idx="17">
                      <c:v>8.5</c:v>
                    </c:pt>
                    <c:pt idx="18">
                      <c:v>9</c:v>
                    </c:pt>
                    <c:pt idx="19">
                      <c:v>9.5</c:v>
                    </c:pt>
                    <c:pt idx="20">
                      <c:v>10</c:v>
                    </c:pt>
                    <c:pt idx="21">
                      <c:v>10.5</c:v>
                    </c:pt>
                    <c:pt idx="22">
                      <c:v>11</c:v>
                    </c:pt>
                    <c:pt idx="23">
                      <c:v>11.5</c:v>
                    </c:pt>
                    <c:pt idx="24">
                      <c:v>12</c:v>
                    </c:pt>
                    <c:pt idx="25">
                      <c:v>12.5</c:v>
                    </c:pt>
                    <c:pt idx="26">
                      <c:v>13</c:v>
                    </c:pt>
                    <c:pt idx="27">
                      <c:v>13.5</c:v>
                    </c:pt>
                    <c:pt idx="28">
                      <c:v>14</c:v>
                    </c:pt>
                    <c:pt idx="29">
                      <c:v>14.5</c:v>
                    </c:pt>
                    <c:pt idx="30">
                      <c:v>15</c:v>
                    </c:pt>
                    <c:pt idx="31">
                      <c:v>15.5</c:v>
                    </c:pt>
                    <c:pt idx="32">
                      <c:v>16</c:v>
                    </c:pt>
                    <c:pt idx="33">
                      <c:v>16.5</c:v>
                    </c:pt>
                    <c:pt idx="34">
                      <c:v>17</c:v>
                    </c:pt>
                    <c:pt idx="35">
                      <c:v>17.5</c:v>
                    </c:pt>
                    <c:pt idx="36">
                      <c:v>18</c:v>
                    </c:pt>
                    <c:pt idx="37">
                      <c:v>18.5</c:v>
                    </c:pt>
                    <c:pt idx="38">
                      <c:v>19</c:v>
                    </c:pt>
                    <c:pt idx="39">
                      <c:v>19.5</c:v>
                    </c:pt>
                    <c:pt idx="40">
                      <c:v>20</c:v>
                    </c:pt>
                    <c:pt idx="41">
                      <c:v>20.244432425891116</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numLit>
                </c:xVal>
                <c:yVal>
                  <c:numLit>
                    <c:formatCode>General</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Lit>
                </c:yVal>
                <c:smooth val="1"/>
                <c:extLst>
                  <c:ext xmlns:c16="http://schemas.microsoft.com/office/drawing/2014/chart" uri="{C3380CC4-5D6E-409C-BE32-E72D297353CC}">
                    <c16:uniqueId val="{00000004-0D66-4B67-BBAB-27A0A4B54C5C}"/>
                  </c:ext>
                </c:extLst>
              </c15:ser>
            </c15:filteredScatterSeries>
            <c15:filteredScatterSeries>
              <c15:ser>
                <c:idx val="3"/>
                <c:order val="3"/>
                <c:tx>
                  <c:v>MAX Required Booster Torque</c:v>
                </c:tx>
                <c:trendline>
                  <c:trendlineType val="poly"/>
                  <c:order val="2"/>
                  <c:dispRSqr val="1"/>
                  <c:dispEq val="1"/>
                  <c:trendlineLbl>
                    <c:layout>
                      <c:manualLayout>
                        <c:x val="-0.10613109805643478"/>
                        <c:y val="-7.3745111112700018E-2"/>
                      </c:manualLayout>
                    </c:layout>
                    <c:numFmt formatCode="General" sourceLinked="0"/>
                  </c:trendlineLbl>
                </c:trendline>
                <c:xVal>
                  <c:numLit>
                    <c:formatCode>General</c:formatCode>
                    <c:ptCount val="90"/>
                    <c:pt idx="0">
                      <c:v>0</c:v>
                    </c:pt>
                    <c:pt idx="1">
                      <c:v>0.5</c:v>
                    </c:pt>
                    <c:pt idx="2">
                      <c:v>1</c:v>
                    </c:pt>
                    <c:pt idx="3">
                      <c:v>1.5</c:v>
                    </c:pt>
                    <c:pt idx="4">
                      <c:v>2</c:v>
                    </c:pt>
                    <c:pt idx="5">
                      <c:v>2.5</c:v>
                    </c:pt>
                    <c:pt idx="6">
                      <c:v>3</c:v>
                    </c:pt>
                    <c:pt idx="7">
                      <c:v>3.5</c:v>
                    </c:pt>
                    <c:pt idx="8">
                      <c:v>4</c:v>
                    </c:pt>
                    <c:pt idx="9">
                      <c:v>4.5</c:v>
                    </c:pt>
                    <c:pt idx="10">
                      <c:v>5</c:v>
                    </c:pt>
                    <c:pt idx="11">
                      <c:v>5.5</c:v>
                    </c:pt>
                    <c:pt idx="12">
                      <c:v>6</c:v>
                    </c:pt>
                    <c:pt idx="13">
                      <c:v>6.5</c:v>
                    </c:pt>
                    <c:pt idx="14">
                      <c:v>7</c:v>
                    </c:pt>
                    <c:pt idx="15">
                      <c:v>7.5</c:v>
                    </c:pt>
                    <c:pt idx="16">
                      <c:v>8</c:v>
                    </c:pt>
                    <c:pt idx="17">
                      <c:v>8.5</c:v>
                    </c:pt>
                    <c:pt idx="18">
                      <c:v>9</c:v>
                    </c:pt>
                    <c:pt idx="19">
                      <c:v>9.5</c:v>
                    </c:pt>
                    <c:pt idx="20">
                      <c:v>10</c:v>
                    </c:pt>
                    <c:pt idx="21">
                      <c:v>10.5</c:v>
                    </c:pt>
                    <c:pt idx="22">
                      <c:v>11</c:v>
                    </c:pt>
                    <c:pt idx="23">
                      <c:v>11.5</c:v>
                    </c:pt>
                    <c:pt idx="24">
                      <c:v>12</c:v>
                    </c:pt>
                    <c:pt idx="25">
                      <c:v>12.5</c:v>
                    </c:pt>
                    <c:pt idx="26">
                      <c:v>13</c:v>
                    </c:pt>
                    <c:pt idx="27">
                      <c:v>13.5</c:v>
                    </c:pt>
                    <c:pt idx="28">
                      <c:v>14</c:v>
                    </c:pt>
                    <c:pt idx="29">
                      <c:v>14.5</c:v>
                    </c:pt>
                    <c:pt idx="30">
                      <c:v>15</c:v>
                    </c:pt>
                    <c:pt idx="31">
                      <c:v>15.5</c:v>
                    </c:pt>
                    <c:pt idx="32">
                      <c:v>16</c:v>
                    </c:pt>
                    <c:pt idx="33">
                      <c:v>16.5</c:v>
                    </c:pt>
                    <c:pt idx="34">
                      <c:v>17</c:v>
                    </c:pt>
                    <c:pt idx="35">
                      <c:v>17.5</c:v>
                    </c:pt>
                    <c:pt idx="36">
                      <c:v>18</c:v>
                    </c:pt>
                    <c:pt idx="37">
                      <c:v>18.5</c:v>
                    </c:pt>
                    <c:pt idx="38">
                      <c:v>19</c:v>
                    </c:pt>
                    <c:pt idx="39">
                      <c:v>19.5</c:v>
                    </c:pt>
                    <c:pt idx="40">
                      <c:v>20</c:v>
                    </c:pt>
                    <c:pt idx="41">
                      <c:v>20.244432425891116</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numLit>
                </c:xVal>
                <c:yVal>
                  <c:numLit>
                    <c:formatCode>General</c:formatCode>
                    <c:ptCount val="90"/>
                    <c:pt idx="0">
                      <c:v>0.63167224192462634</c:v>
                    </c:pt>
                    <c:pt idx="1">
                      <c:v>0.76394586964684341</c:v>
                    </c:pt>
                    <c:pt idx="2">
                      <c:v>0.89058328654231433</c:v>
                    </c:pt>
                    <c:pt idx="3">
                      <c:v>1.0116617127574026</c:v>
                    </c:pt>
                    <c:pt idx="4">
                      <c:v>1.1272583684384714</c:v>
                    </c:pt>
                    <c:pt idx="5">
                      <c:v>1.2374504737318828</c:v>
                    </c:pt>
                    <c:pt idx="6">
                      <c:v>1.3423152487840027</c:v>
                    </c:pt>
                    <c:pt idx="7">
                      <c:v>1.4419299137411918</c:v>
                    </c:pt>
                    <c:pt idx="8">
                      <c:v>1.5363716887498149</c:v>
                    </c:pt>
                    <c:pt idx="9">
                      <c:v>1.6257177939562346</c:v>
                    </c:pt>
                    <c:pt idx="10">
                      <c:v>1.7100454495068145</c:v>
                    </c:pt>
                    <c:pt idx="11">
                      <c:v>1.7894318755479184</c:v>
                    </c:pt>
                    <c:pt idx="12">
                      <c:v>1.8639542922259082</c:v>
                    </c:pt>
                    <c:pt idx="13">
                      <c:v>1.9336899196871487</c:v>
                    </c:pt>
                    <c:pt idx="14">
                      <c:v>1.9987159780780026</c:v>
                    </c:pt>
                    <c:pt idx="15">
                      <c:v>2.0591096875448325</c:v>
                    </c:pt>
                    <c:pt idx="16">
                      <c:v>2.1149482682340035</c:v>
                    </c:pt>
                    <c:pt idx="17">
                      <c:v>2.1663089402918771</c:v>
                    </c:pt>
                    <c:pt idx="18">
                      <c:v>2.2132689238648182</c:v>
                    </c:pt>
                    <c:pt idx="19">
                      <c:v>2.2559054390991893</c:v>
                    </c:pt>
                    <c:pt idx="20">
                      <c:v>2.2942957061413516</c:v>
                    </c:pt>
                    <c:pt idx="21">
                      <c:v>2.3285169451376722</c:v>
                    </c:pt>
                    <c:pt idx="22">
                      <c:v>2.3586463762345122</c:v>
                    </c:pt>
                    <c:pt idx="23">
                      <c:v>2.3847612195782362</c:v>
                    </c:pt>
                    <c:pt idx="24">
                      <c:v>2.4069386953152057</c:v>
                    </c:pt>
                    <c:pt idx="25">
                      <c:v>2.4252560235917855</c:v>
                    </c:pt>
                    <c:pt idx="26">
                      <c:v>2.4397904245543378</c:v>
                    </c:pt>
                    <c:pt idx="27">
                      <c:v>2.450619118349227</c:v>
                    </c:pt>
                    <c:pt idx="28">
                      <c:v>2.457819325122816</c:v>
                    </c:pt>
                    <c:pt idx="29">
                      <c:v>2.4614682650214679</c:v>
                    </c:pt>
                    <c:pt idx="30">
                      <c:v>2.4616431581915452</c:v>
                    </c:pt>
                    <c:pt idx="31">
                      <c:v>2.4584212247794137</c:v>
                    </c:pt>
                    <c:pt idx="32">
                      <c:v>2.4518796849314346</c:v>
                    </c:pt>
                    <c:pt idx="33">
                      <c:v>2.4420957587939709</c:v>
                    </c:pt>
                    <c:pt idx="34">
                      <c:v>2.4291466665133874</c:v>
                    </c:pt>
                    <c:pt idx="35">
                      <c:v>2.4131096282360467</c:v>
                    </c:pt>
                    <c:pt idx="36">
                      <c:v>2.3940618641083122</c:v>
                    </c:pt>
                    <c:pt idx="37">
                      <c:v>2.3720805942765479</c:v>
                    </c:pt>
                    <c:pt idx="38">
                      <c:v>2.3472430388871155</c:v>
                    </c:pt>
                    <c:pt idx="39">
                      <c:v>2.3196264180863793</c:v>
                    </c:pt>
                    <c:pt idx="40">
                      <c:v>2.2893079520207023</c:v>
                    </c:pt>
                    <c:pt idx="41">
                      <c:v>2.2735263600000004</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Lit>
                </c:yVal>
                <c:smooth val="1"/>
                <c:extLst xmlns:c15="http://schemas.microsoft.com/office/drawing/2012/chart">
                  <c:ext xmlns:c16="http://schemas.microsoft.com/office/drawing/2014/chart" uri="{C3380CC4-5D6E-409C-BE32-E72D297353CC}">
                    <c16:uniqueId val="{00000006-0D66-4B67-BBAB-27A0A4B54C5C}"/>
                  </c:ext>
                </c:extLst>
              </c15:ser>
            </c15:filteredScatterSeries>
          </c:ext>
        </c:extLst>
      </c:scatterChart>
      <c:valAx>
        <c:axId val="716307808"/>
        <c:scaling>
          <c:orientation val="minMax"/>
          <c:max val="22"/>
          <c:min val="0"/>
        </c:scaling>
        <c:delete val="0"/>
        <c:axPos val="b"/>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AU"/>
                  <a:t>#</a:t>
                </a:r>
                <a:r>
                  <a:rPr lang="en-AU" baseline="0"/>
                  <a:t> Tube Turns</a:t>
                </a:r>
              </a:p>
            </c:rich>
          </c:tx>
          <c:layout>
            <c:manualLayout>
              <c:xMode val="edge"/>
              <c:yMode val="edge"/>
              <c:x val="0.49070612368619543"/>
              <c:y val="0.9526554297900266"/>
            </c:manualLayout>
          </c:layout>
          <c:overlay val="0"/>
          <c:spPr>
            <a:noFill/>
            <a:ln w="25400">
              <a:noFill/>
            </a:ln>
          </c:spPr>
        </c:title>
        <c:numFmt formatCode="0" sourceLinked="0"/>
        <c:majorTickMark val="out"/>
        <c:minorTickMark val="in"/>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716314880"/>
        <c:crosses val="autoZero"/>
        <c:crossBetween val="midCat"/>
        <c:majorUnit val="5"/>
        <c:minorUnit val="1"/>
      </c:valAx>
      <c:valAx>
        <c:axId val="716314880"/>
        <c:scaling>
          <c:orientation val="minMax"/>
          <c:min val="0"/>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AU" sz="1200" baseline="0"/>
                  <a:t>Torque (Nm)</a:t>
                </a:r>
              </a:p>
            </c:rich>
          </c:tx>
          <c:layout>
            <c:manualLayout>
              <c:xMode val="edge"/>
              <c:yMode val="edge"/>
              <c:x val="7.5959824507121562E-3"/>
              <c:y val="0.43199118606337689"/>
            </c:manualLayout>
          </c:layout>
          <c:overlay val="0"/>
          <c:spPr>
            <a:noFill/>
            <a:ln w="25400">
              <a:noFill/>
            </a:ln>
          </c:spPr>
        </c:title>
        <c:numFmt formatCode="0.0" sourceLinked="0"/>
        <c:majorTickMark val="out"/>
        <c:minorTickMark val="in"/>
        <c:tickLblPos val="nextTo"/>
        <c:txPr>
          <a:bodyPr rot="0" vert="horz"/>
          <a:lstStyle/>
          <a:p>
            <a:pPr>
              <a:defRPr sz="1200" b="0" i="0" u="none" strike="noStrike" baseline="0">
                <a:solidFill>
                  <a:srgbClr val="000000"/>
                </a:solidFill>
                <a:latin typeface="Arial"/>
                <a:ea typeface="Arial"/>
                <a:cs typeface="Arial"/>
              </a:defRPr>
            </a:pPr>
            <a:endParaRPr lang="en-US"/>
          </a:p>
        </c:txPr>
        <c:crossAx val="716307808"/>
        <c:crosses val="autoZero"/>
        <c:crossBetween val="midCat"/>
        <c:majorUnit val="1"/>
        <c:minorUnit val="0.2"/>
      </c:valAx>
      <c:spPr>
        <a:solidFill>
          <a:srgbClr val="C0C0C0"/>
        </a:solidFill>
        <a:ln w="12700">
          <a:solidFill>
            <a:srgbClr val="000000"/>
          </a:solidFill>
          <a:prstDash val="solid"/>
        </a:ln>
      </c:spPr>
    </c:plotArea>
    <c:legend>
      <c:legendPos val="r"/>
      <c:legendEntry>
        <c:idx val="2"/>
        <c:delete val="1"/>
      </c:legendEntry>
      <c:layout>
        <c:manualLayout>
          <c:xMode val="edge"/>
          <c:yMode val="edge"/>
          <c:x val="0.72894564406911799"/>
          <c:y val="0.10609537685463363"/>
          <c:w val="0.27105435593088201"/>
          <c:h val="0.20925372732453867"/>
        </c:manualLayout>
      </c:layout>
      <c:overlay val="0"/>
    </c:legend>
    <c:plotVisOnly val="0"/>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98425196850393659" l="0.7480314960629959" r="0.7480314960629959" t="0.98425196850393659" header="0.51181102362204722" footer="0.5118110236220472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50" b="1" i="0" u="none" strike="noStrike" baseline="0">
                <a:solidFill>
                  <a:srgbClr val="000000"/>
                </a:solidFill>
                <a:latin typeface="Arial"/>
                <a:ea typeface="Arial"/>
                <a:cs typeface="Arial"/>
              </a:defRPr>
            </a:pPr>
            <a:r>
              <a:rPr lang="en-AU"/>
              <a:t>Blind Torque (Nm) vs</a:t>
            </a:r>
            <a:r>
              <a:rPr lang="en-AU" baseline="0"/>
              <a:t> # Tube Turns</a:t>
            </a:r>
            <a:endParaRPr lang="en-AU"/>
          </a:p>
        </c:rich>
      </c:tx>
      <c:layout>
        <c:manualLayout>
          <c:xMode val="edge"/>
          <c:yMode val="edge"/>
          <c:x val="0.3337529910049829"/>
          <c:y val="7.3768033294414309E-2"/>
        </c:manualLayout>
      </c:layout>
      <c:overlay val="0"/>
      <c:spPr>
        <a:noFill/>
        <a:ln w="25400">
          <a:noFill/>
        </a:ln>
      </c:spPr>
    </c:title>
    <c:autoTitleDeleted val="0"/>
    <c:plotArea>
      <c:layout>
        <c:manualLayout>
          <c:layoutTarget val="inner"/>
          <c:xMode val="edge"/>
          <c:yMode val="edge"/>
          <c:x val="0.10066239287082934"/>
          <c:y val="0.17731419715071201"/>
          <c:w val="0.87175940696976506"/>
          <c:h val="0.71824237822470094"/>
        </c:manualLayout>
      </c:layout>
      <c:scatterChart>
        <c:scatterStyle val="smoothMarker"/>
        <c:varyColors val="0"/>
        <c:ser>
          <c:idx val="0"/>
          <c:order val="0"/>
          <c:tx>
            <c:v>"Tube Torque - No Booster"</c:v>
          </c:tx>
          <c:trendline>
            <c:trendlineType val="poly"/>
            <c:order val="2"/>
            <c:dispRSqr val="1"/>
            <c:dispEq val="1"/>
            <c:trendlineLbl>
              <c:layout>
                <c:manualLayout>
                  <c:x val="1.8957927281471929E-2"/>
                  <c:y val="0.10603840978614439"/>
                </c:manualLayout>
              </c:layout>
              <c:numFmt formatCode="#,##0.000000" sourceLinked="0"/>
            </c:trendlineLbl>
          </c:trendline>
          <c:xVal>
            <c:numRef>
              <c:f>_LiveData!$C$11:$C$100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xVal>
          <c:yVal>
            <c:numRef>
              <c:f>_LiveData!$O$11:$O$100</c:f>
              <c:numCache>
                <c:formatCode>0.00000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formatCode="0.000">
                  <c:v>0</c:v>
                </c:pt>
                <c:pt idx="31" formatCode="0.000">
                  <c:v>0</c:v>
                </c:pt>
                <c:pt idx="32" formatCode="0.000">
                  <c:v>0</c:v>
                </c:pt>
                <c:pt idx="33" formatCode="0.000">
                  <c:v>0</c:v>
                </c:pt>
                <c:pt idx="34" formatCode="0.00">
                  <c:v>0</c:v>
                </c:pt>
                <c:pt idx="35" formatCode="0.00">
                  <c:v>0</c:v>
                </c:pt>
                <c:pt idx="36" formatCode="0.00">
                  <c:v>0</c:v>
                </c:pt>
                <c:pt idx="37" formatCode="0.00">
                  <c:v>0</c:v>
                </c:pt>
                <c:pt idx="38" formatCode="0.00">
                  <c:v>0</c:v>
                </c:pt>
                <c:pt idx="39" formatCode="0.00">
                  <c:v>0</c:v>
                </c:pt>
                <c:pt idx="40" formatCode="0.00">
                  <c:v>0</c:v>
                </c:pt>
                <c:pt idx="41" formatCode="0.00">
                  <c:v>0</c:v>
                </c:pt>
                <c:pt idx="42" formatCode="0.00">
                  <c:v>0</c:v>
                </c:pt>
                <c:pt idx="43" formatCode="0.00">
                  <c:v>0</c:v>
                </c:pt>
                <c:pt idx="44" formatCode="0.00">
                  <c:v>0</c:v>
                </c:pt>
                <c:pt idx="45" formatCode="0.00">
                  <c:v>0</c:v>
                </c:pt>
                <c:pt idx="46" formatCode="0.00">
                  <c:v>0</c:v>
                </c:pt>
                <c:pt idx="47" formatCode="0.00">
                  <c:v>0</c:v>
                </c:pt>
                <c:pt idx="48" formatCode="0.00">
                  <c:v>0</c:v>
                </c:pt>
                <c:pt idx="49" formatCode="0.00">
                  <c:v>0</c:v>
                </c:pt>
                <c:pt idx="50" formatCode="0.00">
                  <c:v>0</c:v>
                </c:pt>
                <c:pt idx="51" formatCode="0.00">
                  <c:v>0</c:v>
                </c:pt>
                <c:pt idx="52" formatCode="0.00">
                  <c:v>0</c:v>
                </c:pt>
                <c:pt idx="53" formatCode="0.00">
                  <c:v>0</c:v>
                </c:pt>
                <c:pt idx="54" formatCode="0.00">
                  <c:v>0</c:v>
                </c:pt>
                <c:pt idx="55" formatCode="0.00">
                  <c:v>0</c:v>
                </c:pt>
                <c:pt idx="56" formatCode="0.00">
                  <c:v>0</c:v>
                </c:pt>
                <c:pt idx="57" formatCode="0.00">
                  <c:v>0</c:v>
                </c:pt>
                <c:pt idx="58" formatCode="0.00">
                  <c:v>0</c:v>
                </c:pt>
                <c:pt idx="59" formatCode="0.00">
                  <c:v>0</c:v>
                </c:pt>
                <c:pt idx="60" formatCode="0.00">
                  <c:v>0</c:v>
                </c:pt>
                <c:pt idx="61" formatCode="0.00">
                  <c:v>0</c:v>
                </c:pt>
                <c:pt idx="62" formatCode="0.00">
                  <c:v>0</c:v>
                </c:pt>
                <c:pt idx="63" formatCode="0.00">
                  <c:v>0</c:v>
                </c:pt>
                <c:pt idx="64" formatCode="0.00">
                  <c:v>0</c:v>
                </c:pt>
                <c:pt idx="65" formatCode="0.00">
                  <c:v>0</c:v>
                </c:pt>
                <c:pt idx="66" formatCode="0.00">
                  <c:v>0</c:v>
                </c:pt>
                <c:pt idx="67" formatCode="0.00">
                  <c:v>0</c:v>
                </c:pt>
                <c:pt idx="68" formatCode="0.00">
                  <c:v>0</c:v>
                </c:pt>
                <c:pt idx="69" formatCode="0.00">
                  <c:v>0</c:v>
                </c:pt>
                <c:pt idx="70" formatCode="0.00">
                  <c:v>0</c:v>
                </c:pt>
                <c:pt idx="71" formatCode="0.00">
                  <c:v>0</c:v>
                </c:pt>
                <c:pt idx="72" formatCode="0.00">
                  <c:v>0</c:v>
                </c:pt>
                <c:pt idx="73" formatCode="0.00">
                  <c:v>0</c:v>
                </c:pt>
                <c:pt idx="74" formatCode="0.00">
                  <c:v>0</c:v>
                </c:pt>
                <c:pt idx="75" formatCode="0.00">
                  <c:v>0</c:v>
                </c:pt>
                <c:pt idx="76" formatCode="0.00">
                  <c:v>0</c:v>
                </c:pt>
                <c:pt idx="77" formatCode="0.00">
                  <c:v>0</c:v>
                </c:pt>
                <c:pt idx="78" formatCode="0.00">
                  <c:v>0</c:v>
                </c:pt>
                <c:pt idx="79" formatCode="0.00">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88" formatCode="0.00">
                  <c:v>0</c:v>
                </c:pt>
                <c:pt idx="89" formatCode="0.00">
                  <c:v>0</c:v>
                </c:pt>
              </c:numCache>
            </c:numRef>
          </c:yVal>
          <c:smooth val="1"/>
          <c:extLst>
            <c:ext xmlns:c16="http://schemas.microsoft.com/office/drawing/2014/chart" uri="{C3380CC4-5D6E-409C-BE32-E72D297353CC}">
              <c16:uniqueId val="{00000001-5E5E-4EE6-8B74-B13AA0E734BE}"/>
            </c:ext>
          </c:extLst>
        </c:ser>
        <c:ser>
          <c:idx val="1"/>
          <c:order val="1"/>
          <c:tx>
            <c:v>"Booster Torque"</c:v>
          </c:tx>
          <c:trendline>
            <c:trendlineType val="linear"/>
            <c:dispRSqr val="1"/>
            <c:dispEq val="1"/>
            <c:trendlineLbl>
              <c:layout>
                <c:manualLayout>
                  <c:x val="-3.8505693438511568E-2"/>
                  <c:y val="0.17010145829446094"/>
                </c:manualLayout>
              </c:layout>
              <c:numFmt formatCode="#,##0.000" sourceLinked="0"/>
            </c:trendlineLbl>
          </c:trendline>
          <c:xVal>
            <c:numRef>
              <c:f>_LiveData!$C$11:$C$100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xVal>
          <c:yVal>
            <c:numRef>
              <c:f>_LiveData!$AB$11:$AB$100</c:f>
              <c:numCache>
                <c:formatCode>0.00</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Cache>
            </c:numRef>
          </c:yVal>
          <c:smooth val="1"/>
          <c:extLst xmlns:c15="http://schemas.microsoft.com/office/drawing/2012/chart">
            <c:ext xmlns:c16="http://schemas.microsoft.com/office/drawing/2014/chart" uri="{C3380CC4-5D6E-409C-BE32-E72D297353CC}">
              <c16:uniqueId val="{00000003-5E5E-4EE6-8B74-B13AA0E734BE}"/>
            </c:ext>
          </c:extLst>
        </c:ser>
        <c:dLbls>
          <c:showLegendKey val="0"/>
          <c:showVal val="0"/>
          <c:showCatName val="0"/>
          <c:showSerName val="0"/>
          <c:showPercent val="0"/>
          <c:showBubbleSize val="0"/>
        </c:dLbls>
        <c:axId val="716307808"/>
        <c:axId val="716314880"/>
        <c:extLst>
          <c:ext xmlns:c15="http://schemas.microsoft.com/office/drawing/2012/chart" uri="{02D57815-91ED-43cb-92C2-25804820EDAC}">
            <c15:filteredScatterSeries>
              <c15:ser>
                <c:idx val="2"/>
                <c:order val="2"/>
                <c:xVal>
                  <c:numLit>
                    <c:formatCode>General</c:formatCode>
                    <c:ptCount val="90"/>
                    <c:pt idx="0">
                      <c:v>0</c:v>
                    </c:pt>
                    <c:pt idx="1">
                      <c:v>0.5</c:v>
                    </c:pt>
                    <c:pt idx="2">
                      <c:v>1</c:v>
                    </c:pt>
                    <c:pt idx="3">
                      <c:v>1.5</c:v>
                    </c:pt>
                    <c:pt idx="4">
                      <c:v>2</c:v>
                    </c:pt>
                    <c:pt idx="5">
                      <c:v>2.5</c:v>
                    </c:pt>
                    <c:pt idx="6">
                      <c:v>3</c:v>
                    </c:pt>
                    <c:pt idx="7">
                      <c:v>3.5</c:v>
                    </c:pt>
                    <c:pt idx="8">
                      <c:v>4</c:v>
                    </c:pt>
                    <c:pt idx="9">
                      <c:v>4.5</c:v>
                    </c:pt>
                    <c:pt idx="10">
                      <c:v>5</c:v>
                    </c:pt>
                    <c:pt idx="11">
                      <c:v>5.5</c:v>
                    </c:pt>
                    <c:pt idx="12">
                      <c:v>6</c:v>
                    </c:pt>
                    <c:pt idx="13">
                      <c:v>6.5</c:v>
                    </c:pt>
                    <c:pt idx="14">
                      <c:v>7</c:v>
                    </c:pt>
                    <c:pt idx="15">
                      <c:v>7.5</c:v>
                    </c:pt>
                    <c:pt idx="16">
                      <c:v>8</c:v>
                    </c:pt>
                    <c:pt idx="17">
                      <c:v>8.5</c:v>
                    </c:pt>
                    <c:pt idx="18">
                      <c:v>9</c:v>
                    </c:pt>
                    <c:pt idx="19">
                      <c:v>9.5</c:v>
                    </c:pt>
                    <c:pt idx="20">
                      <c:v>10</c:v>
                    </c:pt>
                    <c:pt idx="21">
                      <c:v>10.5</c:v>
                    </c:pt>
                    <c:pt idx="22">
                      <c:v>11</c:v>
                    </c:pt>
                    <c:pt idx="23">
                      <c:v>11.5</c:v>
                    </c:pt>
                    <c:pt idx="24">
                      <c:v>12</c:v>
                    </c:pt>
                    <c:pt idx="25">
                      <c:v>12.5</c:v>
                    </c:pt>
                    <c:pt idx="26">
                      <c:v>13</c:v>
                    </c:pt>
                    <c:pt idx="27">
                      <c:v>13.5</c:v>
                    </c:pt>
                    <c:pt idx="28">
                      <c:v>14</c:v>
                    </c:pt>
                    <c:pt idx="29">
                      <c:v>14.5</c:v>
                    </c:pt>
                    <c:pt idx="30">
                      <c:v>15</c:v>
                    </c:pt>
                    <c:pt idx="31">
                      <c:v>15.5</c:v>
                    </c:pt>
                    <c:pt idx="32">
                      <c:v>16</c:v>
                    </c:pt>
                    <c:pt idx="33">
                      <c:v>16.5</c:v>
                    </c:pt>
                    <c:pt idx="34">
                      <c:v>17</c:v>
                    </c:pt>
                    <c:pt idx="35">
                      <c:v>17.5</c:v>
                    </c:pt>
                    <c:pt idx="36">
                      <c:v>18</c:v>
                    </c:pt>
                    <c:pt idx="37">
                      <c:v>18.5</c:v>
                    </c:pt>
                    <c:pt idx="38">
                      <c:v>19</c:v>
                    </c:pt>
                    <c:pt idx="39">
                      <c:v>19.5</c:v>
                    </c:pt>
                    <c:pt idx="40">
                      <c:v>20</c:v>
                    </c:pt>
                    <c:pt idx="41">
                      <c:v>20.244432425891116</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numLit>
                </c:xVal>
                <c:yVal>
                  <c:numLit>
                    <c:formatCode>General</c:formatCode>
                    <c:ptCount val="9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Lit>
                </c:yVal>
                <c:smooth val="1"/>
                <c:extLst>
                  <c:ext xmlns:c16="http://schemas.microsoft.com/office/drawing/2014/chart" uri="{C3380CC4-5D6E-409C-BE32-E72D297353CC}">
                    <c16:uniqueId val="{00000004-5E5E-4EE6-8B74-B13AA0E734BE}"/>
                  </c:ext>
                </c:extLst>
              </c15:ser>
            </c15:filteredScatterSeries>
            <c15:filteredScatterSeries>
              <c15:ser>
                <c:idx val="3"/>
                <c:order val="3"/>
                <c:tx>
                  <c:v>MAX Required Booster Torque</c:v>
                </c:tx>
                <c:trendline>
                  <c:trendlineType val="poly"/>
                  <c:order val="2"/>
                  <c:dispRSqr val="1"/>
                  <c:dispEq val="1"/>
                  <c:trendlineLbl>
                    <c:layout>
                      <c:manualLayout>
                        <c:x val="-0.10613109805643478"/>
                        <c:y val="-7.3745111112700018E-2"/>
                      </c:manualLayout>
                    </c:layout>
                    <c:numFmt formatCode="General" sourceLinked="0"/>
                  </c:trendlineLbl>
                </c:trendline>
                <c:xVal>
                  <c:numLit>
                    <c:formatCode>General</c:formatCode>
                    <c:ptCount val="90"/>
                    <c:pt idx="0">
                      <c:v>0</c:v>
                    </c:pt>
                    <c:pt idx="1">
                      <c:v>0.5</c:v>
                    </c:pt>
                    <c:pt idx="2">
                      <c:v>1</c:v>
                    </c:pt>
                    <c:pt idx="3">
                      <c:v>1.5</c:v>
                    </c:pt>
                    <c:pt idx="4">
                      <c:v>2</c:v>
                    </c:pt>
                    <c:pt idx="5">
                      <c:v>2.5</c:v>
                    </c:pt>
                    <c:pt idx="6">
                      <c:v>3</c:v>
                    </c:pt>
                    <c:pt idx="7">
                      <c:v>3.5</c:v>
                    </c:pt>
                    <c:pt idx="8">
                      <c:v>4</c:v>
                    </c:pt>
                    <c:pt idx="9">
                      <c:v>4.5</c:v>
                    </c:pt>
                    <c:pt idx="10">
                      <c:v>5</c:v>
                    </c:pt>
                    <c:pt idx="11">
                      <c:v>5.5</c:v>
                    </c:pt>
                    <c:pt idx="12">
                      <c:v>6</c:v>
                    </c:pt>
                    <c:pt idx="13">
                      <c:v>6.5</c:v>
                    </c:pt>
                    <c:pt idx="14">
                      <c:v>7</c:v>
                    </c:pt>
                    <c:pt idx="15">
                      <c:v>7.5</c:v>
                    </c:pt>
                    <c:pt idx="16">
                      <c:v>8</c:v>
                    </c:pt>
                    <c:pt idx="17">
                      <c:v>8.5</c:v>
                    </c:pt>
                    <c:pt idx="18">
                      <c:v>9</c:v>
                    </c:pt>
                    <c:pt idx="19">
                      <c:v>9.5</c:v>
                    </c:pt>
                    <c:pt idx="20">
                      <c:v>10</c:v>
                    </c:pt>
                    <c:pt idx="21">
                      <c:v>10.5</c:v>
                    </c:pt>
                    <c:pt idx="22">
                      <c:v>11</c:v>
                    </c:pt>
                    <c:pt idx="23">
                      <c:v>11.5</c:v>
                    </c:pt>
                    <c:pt idx="24">
                      <c:v>12</c:v>
                    </c:pt>
                    <c:pt idx="25">
                      <c:v>12.5</c:v>
                    </c:pt>
                    <c:pt idx="26">
                      <c:v>13</c:v>
                    </c:pt>
                    <c:pt idx="27">
                      <c:v>13.5</c:v>
                    </c:pt>
                    <c:pt idx="28">
                      <c:v>14</c:v>
                    </c:pt>
                    <c:pt idx="29">
                      <c:v>14.5</c:v>
                    </c:pt>
                    <c:pt idx="30">
                      <c:v>15</c:v>
                    </c:pt>
                    <c:pt idx="31">
                      <c:v>15.5</c:v>
                    </c:pt>
                    <c:pt idx="32">
                      <c:v>16</c:v>
                    </c:pt>
                    <c:pt idx="33">
                      <c:v>16.5</c:v>
                    </c:pt>
                    <c:pt idx="34">
                      <c:v>17</c:v>
                    </c:pt>
                    <c:pt idx="35">
                      <c:v>17.5</c:v>
                    </c:pt>
                    <c:pt idx="36">
                      <c:v>18</c:v>
                    </c:pt>
                    <c:pt idx="37">
                      <c:v>18.5</c:v>
                    </c:pt>
                    <c:pt idx="38">
                      <c:v>19</c:v>
                    </c:pt>
                    <c:pt idx="39">
                      <c:v>19.5</c:v>
                    </c:pt>
                    <c:pt idx="40">
                      <c:v>20</c:v>
                    </c:pt>
                    <c:pt idx="41">
                      <c:v>20.244432425891116</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numLit>
                </c:xVal>
                <c:yVal>
                  <c:numLit>
                    <c:formatCode>General</c:formatCode>
                    <c:ptCount val="90"/>
                    <c:pt idx="0">
                      <c:v>0.63167224192462634</c:v>
                    </c:pt>
                    <c:pt idx="1">
                      <c:v>0.76394586964684341</c:v>
                    </c:pt>
                    <c:pt idx="2">
                      <c:v>0.89058328654231433</c:v>
                    </c:pt>
                    <c:pt idx="3">
                      <c:v>1.0116617127574026</c:v>
                    </c:pt>
                    <c:pt idx="4">
                      <c:v>1.1272583684384714</c:v>
                    </c:pt>
                    <c:pt idx="5">
                      <c:v>1.2374504737318828</c:v>
                    </c:pt>
                    <c:pt idx="6">
                      <c:v>1.3423152487840027</c:v>
                    </c:pt>
                    <c:pt idx="7">
                      <c:v>1.4419299137411918</c:v>
                    </c:pt>
                    <c:pt idx="8">
                      <c:v>1.5363716887498149</c:v>
                    </c:pt>
                    <c:pt idx="9">
                      <c:v>1.6257177939562346</c:v>
                    </c:pt>
                    <c:pt idx="10">
                      <c:v>1.7100454495068145</c:v>
                    </c:pt>
                    <c:pt idx="11">
                      <c:v>1.7894318755479184</c:v>
                    </c:pt>
                    <c:pt idx="12">
                      <c:v>1.8639542922259082</c:v>
                    </c:pt>
                    <c:pt idx="13">
                      <c:v>1.9336899196871487</c:v>
                    </c:pt>
                    <c:pt idx="14">
                      <c:v>1.9987159780780026</c:v>
                    </c:pt>
                    <c:pt idx="15">
                      <c:v>2.0591096875448325</c:v>
                    </c:pt>
                    <c:pt idx="16">
                      <c:v>2.1149482682340035</c:v>
                    </c:pt>
                    <c:pt idx="17">
                      <c:v>2.1663089402918771</c:v>
                    </c:pt>
                    <c:pt idx="18">
                      <c:v>2.2132689238648182</c:v>
                    </c:pt>
                    <c:pt idx="19">
                      <c:v>2.2559054390991893</c:v>
                    </c:pt>
                    <c:pt idx="20">
                      <c:v>2.2942957061413516</c:v>
                    </c:pt>
                    <c:pt idx="21">
                      <c:v>2.3285169451376722</c:v>
                    </c:pt>
                    <c:pt idx="22">
                      <c:v>2.3586463762345122</c:v>
                    </c:pt>
                    <c:pt idx="23">
                      <c:v>2.3847612195782362</c:v>
                    </c:pt>
                    <c:pt idx="24">
                      <c:v>2.4069386953152057</c:v>
                    </c:pt>
                    <c:pt idx="25">
                      <c:v>2.4252560235917855</c:v>
                    </c:pt>
                    <c:pt idx="26">
                      <c:v>2.4397904245543378</c:v>
                    </c:pt>
                    <c:pt idx="27">
                      <c:v>2.450619118349227</c:v>
                    </c:pt>
                    <c:pt idx="28">
                      <c:v>2.457819325122816</c:v>
                    </c:pt>
                    <c:pt idx="29">
                      <c:v>2.4614682650214679</c:v>
                    </c:pt>
                    <c:pt idx="30">
                      <c:v>2.4616431581915452</c:v>
                    </c:pt>
                    <c:pt idx="31">
                      <c:v>2.4584212247794137</c:v>
                    </c:pt>
                    <c:pt idx="32">
                      <c:v>2.4518796849314346</c:v>
                    </c:pt>
                    <c:pt idx="33">
                      <c:v>2.4420957587939709</c:v>
                    </c:pt>
                    <c:pt idx="34">
                      <c:v>2.4291466665133874</c:v>
                    </c:pt>
                    <c:pt idx="35">
                      <c:v>2.4131096282360467</c:v>
                    </c:pt>
                    <c:pt idx="36">
                      <c:v>2.3940618641083122</c:v>
                    </c:pt>
                    <c:pt idx="37">
                      <c:v>2.3720805942765479</c:v>
                    </c:pt>
                    <c:pt idx="38">
                      <c:v>2.3472430388871155</c:v>
                    </c:pt>
                    <c:pt idx="39">
                      <c:v>2.3196264180863793</c:v>
                    </c:pt>
                    <c:pt idx="40">
                      <c:v>2.2893079520207023</c:v>
                    </c:pt>
                    <c:pt idx="41">
                      <c:v>2.2735263600000004</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numLit>
                </c:yVal>
                <c:smooth val="1"/>
                <c:extLst xmlns:c15="http://schemas.microsoft.com/office/drawing/2012/chart">
                  <c:ext xmlns:c16="http://schemas.microsoft.com/office/drawing/2014/chart" uri="{C3380CC4-5D6E-409C-BE32-E72D297353CC}">
                    <c16:uniqueId val="{00000006-5E5E-4EE6-8B74-B13AA0E734BE}"/>
                  </c:ext>
                </c:extLst>
              </c15:ser>
            </c15:filteredScatterSeries>
          </c:ext>
        </c:extLst>
      </c:scatterChart>
      <c:valAx>
        <c:axId val="716307808"/>
        <c:scaling>
          <c:orientation val="minMax"/>
          <c:max val="22"/>
          <c:min val="0"/>
        </c:scaling>
        <c:delete val="0"/>
        <c:axPos val="b"/>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AU"/>
                  <a:t>#</a:t>
                </a:r>
                <a:r>
                  <a:rPr lang="en-AU" baseline="0"/>
                  <a:t> Tube Turns</a:t>
                </a:r>
              </a:p>
            </c:rich>
          </c:tx>
          <c:layout>
            <c:manualLayout>
              <c:xMode val="edge"/>
              <c:yMode val="edge"/>
              <c:x val="0.49070612368619543"/>
              <c:y val="0.9526554297900266"/>
            </c:manualLayout>
          </c:layout>
          <c:overlay val="0"/>
          <c:spPr>
            <a:noFill/>
            <a:ln w="25400">
              <a:noFill/>
            </a:ln>
          </c:spPr>
        </c:title>
        <c:numFmt formatCode="0" sourceLinked="0"/>
        <c:majorTickMark val="out"/>
        <c:minorTickMark val="in"/>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716314880"/>
        <c:crosses val="autoZero"/>
        <c:crossBetween val="midCat"/>
        <c:majorUnit val="5"/>
        <c:minorUnit val="1"/>
      </c:valAx>
      <c:valAx>
        <c:axId val="716314880"/>
        <c:scaling>
          <c:orientation val="minMax"/>
          <c:min val="0"/>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AU" sz="1200" baseline="0"/>
                  <a:t>Torque (Nm)</a:t>
                </a:r>
              </a:p>
            </c:rich>
          </c:tx>
          <c:layout>
            <c:manualLayout>
              <c:xMode val="edge"/>
              <c:yMode val="edge"/>
              <c:x val="7.5959824507121562E-3"/>
              <c:y val="0.43199118606337689"/>
            </c:manualLayout>
          </c:layout>
          <c:overlay val="0"/>
          <c:spPr>
            <a:noFill/>
            <a:ln w="25400">
              <a:noFill/>
            </a:ln>
          </c:spPr>
        </c:title>
        <c:numFmt formatCode="0.0" sourceLinked="0"/>
        <c:majorTickMark val="out"/>
        <c:minorTickMark val="in"/>
        <c:tickLblPos val="nextTo"/>
        <c:txPr>
          <a:bodyPr rot="0" vert="horz"/>
          <a:lstStyle/>
          <a:p>
            <a:pPr>
              <a:defRPr sz="1200" b="0" i="0" u="none" strike="noStrike" baseline="0">
                <a:solidFill>
                  <a:srgbClr val="000000"/>
                </a:solidFill>
                <a:latin typeface="Arial"/>
                <a:ea typeface="Arial"/>
                <a:cs typeface="Arial"/>
              </a:defRPr>
            </a:pPr>
            <a:endParaRPr lang="en-US"/>
          </a:p>
        </c:txPr>
        <c:crossAx val="716307808"/>
        <c:crosses val="autoZero"/>
        <c:crossBetween val="midCat"/>
        <c:majorUnit val="1"/>
        <c:minorUnit val="0.2"/>
      </c:valAx>
      <c:spPr>
        <a:solidFill>
          <a:srgbClr val="C0C0C0"/>
        </a:solidFill>
        <a:ln w="12700">
          <a:solidFill>
            <a:srgbClr val="000000"/>
          </a:solidFill>
          <a:prstDash val="solid"/>
        </a:ln>
      </c:spPr>
    </c:plotArea>
    <c:legend>
      <c:legendPos val="r"/>
      <c:legendEntry>
        <c:idx val="2"/>
        <c:delete val="1"/>
      </c:legendEntry>
      <c:layout>
        <c:manualLayout>
          <c:xMode val="edge"/>
          <c:yMode val="edge"/>
          <c:x val="0.72894564406911799"/>
          <c:y val="0.10609537685463363"/>
          <c:w val="0.27105435593088201"/>
          <c:h val="0.20925372732453867"/>
        </c:manualLayout>
      </c:layout>
      <c:overlay val="0"/>
    </c:legend>
    <c:plotVisOnly val="0"/>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98425196850393659" l="0.7480314960629959" r="0.7480314960629959" t="0.98425196850393659" header="0.51181102362204722" footer="0.51181102362204722"/>
    <c:pageSetup paperSize="9" orientation="landscape"/>
  </c:printSettings>
</c:chartSpac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10</xdr:row>
      <xdr:rowOff>142875</xdr:rowOff>
    </xdr:from>
    <xdr:to>
      <xdr:col>16</xdr:col>
      <xdr:colOff>496034</xdr:colOff>
      <xdr:row>12</xdr:row>
      <xdr:rowOff>95250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00050" y="2305050"/>
          <a:ext cx="9078059" cy="333375"/>
        </a:xfrm>
        <a:prstGeom prst="rect">
          <a:avLst/>
        </a:prstGeom>
      </xdr:spPr>
    </xdr:pic>
    <xdr:clientData/>
  </xdr:twoCellAnchor>
  <xdr:twoCellAnchor editAs="oneCell">
    <xdr:from>
      <xdr:col>4</xdr:col>
      <xdr:colOff>533400</xdr:colOff>
      <xdr:row>21</xdr:row>
      <xdr:rowOff>66675</xdr:rowOff>
    </xdr:from>
    <xdr:to>
      <xdr:col>13</xdr:col>
      <xdr:colOff>485650</xdr:colOff>
      <xdr:row>28</xdr:row>
      <xdr:rowOff>76200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2200275" y="5057775"/>
          <a:ext cx="5438650" cy="2352675"/>
        </a:xfrm>
        <a:prstGeom prst="rect">
          <a:avLst/>
        </a:prstGeom>
      </xdr:spPr>
    </xdr:pic>
    <xdr:clientData/>
  </xdr:twoCellAnchor>
  <xdr:twoCellAnchor editAs="oneCell">
    <xdr:from>
      <xdr:col>20</xdr:col>
      <xdr:colOff>95250</xdr:colOff>
      <xdr:row>11</xdr:row>
      <xdr:rowOff>21860</xdr:rowOff>
    </xdr:from>
    <xdr:to>
      <xdr:col>32</xdr:col>
      <xdr:colOff>206631</xdr:colOff>
      <xdr:row>20</xdr:row>
      <xdr:rowOff>158924</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134725" y="2031635"/>
          <a:ext cx="7426581" cy="292788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190500</xdr:colOff>
      <xdr:row>2</xdr:row>
      <xdr:rowOff>171449</xdr:rowOff>
    </xdr:from>
    <xdr:ext cx="5022055" cy="352425"/>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0391775" y="1990724"/>
          <a:ext cx="5022055" cy="3524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56030</xdr:colOff>
      <xdr:row>0</xdr:row>
      <xdr:rowOff>171574</xdr:rowOff>
    </xdr:from>
    <xdr:to>
      <xdr:col>2</xdr:col>
      <xdr:colOff>1711847</xdr:colOff>
      <xdr:row>2</xdr:row>
      <xdr:rowOff>307403</xdr:rowOff>
    </xdr:to>
    <xdr:pic>
      <xdr:nvPicPr>
        <xdr:cNvPr id="89" name="Picture 88" descr="Rollease Acmeda | Australia">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955" y="171574"/>
          <a:ext cx="1817742" cy="421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10</xdr:col>
          <xdr:colOff>0</xdr:colOff>
          <xdr:row>2</xdr:row>
          <xdr:rowOff>184150</xdr:rowOff>
        </xdr:from>
        <xdr:to>
          <xdr:col>10</xdr:col>
          <xdr:colOff>2165350</xdr:colOff>
          <xdr:row>5</xdr:row>
          <xdr:rowOff>12700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AU" sz="1400" b="1" i="0" u="none" strike="noStrike" baseline="0">
                  <a:solidFill>
                    <a:srgbClr val="000000"/>
                  </a:solidFill>
                  <a:latin typeface="Calibri"/>
                  <a:ea typeface="Calibri"/>
                  <a:cs typeface="Calibri"/>
                </a:rPr>
                <a:t>CLEAR SELECTIONS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889000</xdr:colOff>
          <xdr:row>40</xdr:row>
          <xdr:rowOff>88900</xdr:rowOff>
        </xdr:from>
        <xdr:to>
          <xdr:col>8</xdr:col>
          <xdr:colOff>3048000</xdr:colOff>
          <xdr:row>43</xdr:row>
          <xdr:rowOff>69850</xdr:rowOff>
        </xdr:to>
        <xdr:sp macro="" textlink="">
          <xdr:nvSpPr>
            <xdr:cNvPr id="1031" name="Button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AU" sz="1400" b="1" i="0" u="none" strike="noStrike" baseline="0">
                  <a:solidFill>
                    <a:srgbClr val="000000"/>
                  </a:solidFill>
                  <a:latin typeface="Calibri"/>
                  <a:ea typeface="Calibri"/>
                  <a:cs typeface="Calibri"/>
                </a:rPr>
                <a:t>LOAD INPUT STRING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1219200</xdr:colOff>
          <xdr:row>40</xdr:row>
          <xdr:rowOff>88900</xdr:rowOff>
        </xdr:from>
        <xdr:to>
          <xdr:col>11</xdr:col>
          <xdr:colOff>1003300</xdr:colOff>
          <xdr:row>43</xdr:row>
          <xdr:rowOff>69850</xdr:rowOff>
        </xdr:to>
        <xdr:sp macro="" textlink="">
          <xdr:nvSpPr>
            <xdr:cNvPr id="1040" name="Button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AU" sz="1400" b="1" i="0" u="none" strike="noStrike" baseline="0">
                  <a:solidFill>
                    <a:srgbClr val="000000"/>
                  </a:solidFill>
                  <a:latin typeface="Calibri"/>
                  <a:ea typeface="Calibri"/>
                  <a:cs typeface="Calibri"/>
                </a:rPr>
                <a:t>COPY OUTPUT STRING</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26</xdr:col>
      <xdr:colOff>10885</xdr:colOff>
      <xdr:row>25</xdr:row>
      <xdr:rowOff>130628</xdr:rowOff>
    </xdr:from>
    <xdr:to>
      <xdr:col>33</xdr:col>
      <xdr:colOff>291526</xdr:colOff>
      <xdr:row>46</xdr:row>
      <xdr:rowOff>65313</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5860485" y="4757057"/>
          <a:ext cx="4547841" cy="3820885"/>
        </a:xfrm>
        <a:prstGeom prst="rect">
          <a:avLst/>
        </a:prstGeom>
      </xdr:spPr>
    </xdr:pic>
    <xdr:clientData/>
  </xdr:twoCellAnchor>
  <xdr:twoCellAnchor editAs="oneCell">
    <xdr:from>
      <xdr:col>2</xdr:col>
      <xdr:colOff>130628</xdr:colOff>
      <xdr:row>32</xdr:row>
      <xdr:rowOff>54427</xdr:rowOff>
    </xdr:from>
    <xdr:to>
      <xdr:col>11</xdr:col>
      <xdr:colOff>62518</xdr:colOff>
      <xdr:row>50</xdr:row>
      <xdr:rowOff>283</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stretch>
          <a:fillRect/>
        </a:stretch>
      </xdr:blipFill>
      <xdr:spPr>
        <a:xfrm>
          <a:off x="1349828" y="5976256"/>
          <a:ext cx="5418290" cy="3276884"/>
        </a:xfrm>
        <a:prstGeom prst="rect">
          <a:avLst/>
        </a:prstGeom>
      </xdr:spPr>
    </xdr:pic>
    <xdr:clientData/>
  </xdr:twoCellAnchor>
  <xdr:twoCellAnchor editAs="oneCell">
    <xdr:from>
      <xdr:col>12</xdr:col>
      <xdr:colOff>435428</xdr:colOff>
      <xdr:row>34</xdr:row>
      <xdr:rowOff>87085</xdr:rowOff>
    </xdr:from>
    <xdr:to>
      <xdr:col>22</xdr:col>
      <xdr:colOff>367370</xdr:colOff>
      <xdr:row>51</xdr:row>
      <xdr:rowOff>157033</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3"/>
        <a:stretch>
          <a:fillRect/>
        </a:stretch>
      </xdr:blipFill>
      <xdr:spPr>
        <a:xfrm>
          <a:off x="7750628" y="6379028"/>
          <a:ext cx="6027942" cy="32159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298450</xdr:colOff>
          <xdr:row>0</xdr:row>
          <xdr:rowOff>222250</xdr:rowOff>
        </xdr:from>
        <xdr:to>
          <xdr:col>1</xdr:col>
          <xdr:colOff>527050</xdr:colOff>
          <xdr:row>4</xdr:row>
          <xdr:rowOff>31750</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0700-0000014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AU" sz="1100" b="1" i="0" u="none" strike="noStrike" baseline="0">
                  <a:solidFill>
                    <a:srgbClr val="000000"/>
                  </a:solidFill>
                  <a:latin typeface="Calibri"/>
                  <a:ea typeface="Calibri"/>
                  <a:cs typeface="Calibri"/>
                </a:rPr>
                <a:t>Find PreTurns (ESA)</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488950</xdr:colOff>
          <xdr:row>0</xdr:row>
          <xdr:rowOff>127000</xdr:rowOff>
        </xdr:from>
        <xdr:to>
          <xdr:col>4</xdr:col>
          <xdr:colOff>1479550</xdr:colOff>
          <xdr:row>2</xdr:row>
          <xdr:rowOff>88900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AU" sz="1100" b="1" i="0" u="none" strike="noStrike" baseline="0">
                  <a:solidFill>
                    <a:srgbClr val="000000"/>
                  </a:solidFill>
                  <a:latin typeface="Calibri"/>
                  <a:ea typeface="Calibri"/>
                  <a:cs typeface="Calibri"/>
                </a:rPr>
                <a:t>Find PreTurns (ESA)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3</xdr:row>
          <xdr:rowOff>38100</xdr:rowOff>
        </xdr:from>
        <xdr:to>
          <xdr:col>2</xdr:col>
          <xdr:colOff>146050</xdr:colOff>
          <xdr:row>4</xdr:row>
          <xdr:rowOff>374650</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AU" sz="1100" b="1" i="0" u="none" strike="noStrike" baseline="0">
                  <a:solidFill>
                    <a:srgbClr val="000000"/>
                  </a:solidFill>
                  <a:latin typeface="Calibri"/>
                  <a:ea typeface="Calibri"/>
                  <a:cs typeface="Calibri"/>
                </a:rPr>
                <a:t>Toggle Calculator/Chart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336550</xdr:colOff>
          <xdr:row>1</xdr:row>
          <xdr:rowOff>69850</xdr:rowOff>
        </xdr:from>
        <xdr:to>
          <xdr:col>9</xdr:col>
          <xdr:colOff>488950</xdr:colOff>
          <xdr:row>4</xdr:row>
          <xdr:rowOff>107950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900-000002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AU" sz="1100" b="1" i="0" u="none" strike="noStrike" baseline="0">
                  <a:solidFill>
                    <a:srgbClr val="000000"/>
                  </a:solidFill>
                  <a:latin typeface="Calibri"/>
                  <a:ea typeface="Calibri"/>
                  <a:cs typeface="Calibri"/>
                </a:rPr>
                <a:t>Find PreTurns (ESA)</a:t>
              </a:r>
            </a:p>
          </xdr:txBody>
        </xdr:sp>
        <xdr:clientData fPrintsWithSheet="0"/>
      </xdr:twoCellAnchor>
    </mc:Choice>
    <mc:Fallback/>
  </mc:AlternateContent>
  <xdr:twoCellAnchor>
    <xdr:from>
      <xdr:col>4</xdr:col>
      <xdr:colOff>293147</xdr:colOff>
      <xdr:row>38</xdr:row>
      <xdr:rowOff>4483</xdr:rowOff>
    </xdr:from>
    <xdr:to>
      <xdr:col>14</xdr:col>
      <xdr:colOff>1036089</xdr:colOff>
      <xdr:row>64</xdr:row>
      <xdr:rowOff>66145</xdr:rowOff>
    </xdr:to>
    <xdr:graphicFrame macro="">
      <xdr:nvGraphicFramePr>
        <xdr:cNvPr id="6" name="Chart 3">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27</xdr:col>
      <xdr:colOff>221673</xdr:colOff>
      <xdr:row>9</xdr:row>
      <xdr:rowOff>914398</xdr:rowOff>
    </xdr:from>
    <xdr:to>
      <xdr:col>39</xdr:col>
      <xdr:colOff>605912</xdr:colOff>
      <xdr:row>35</xdr:row>
      <xdr:rowOff>106770</xdr:rowOff>
    </xdr:to>
    <xdr:graphicFrame macro="">
      <xdr:nvGraphicFramePr>
        <xdr:cNvPr id="2" name="Chart 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Dean Jay" id="{D90561E2-9B60-4991-A7E5-CFA17F8C5C2E}" userId="S::dean.jay@rolleaseacmeda.com::1438967c-804a-4ae6-8d04-a4f83d9e6b53" providerId="AD"/>
  <person displayName="Dylan Chua" id="{798D74E3-E154-4862-AF03-F2513534B997}" userId="S::dylan.chua@rolleaseacmeda.com::559959d8-1ba2-4fcf-80a4-43ef3a4b33f9" providerId="AD"/>
  <person displayName="Aidan Schofield" id="{F38BFB8E-2C10-44D2-88DE-E9A541A80FC9}" userId="S::aidan.schofield@rolleaseacmeda.com::f8c60fbe-757b-4e51-88ba-fda8cc92a16b"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refreshOnLoad="1" connectionId="1" xr16:uid="{E941427D-B82A-4558-A85C-FBC54E8AE35F}" autoFormatId="16" applyNumberFormats="0" applyBorderFormats="0" applyFontFormats="0" applyPatternFormats="0" applyAlignmentFormats="0" applyWidthHeightFormats="0">
  <queryTableRefresh nextId="9">
    <queryTableFields count="2">
      <queryTableField id="5" name="DocumentName" tableColumnId="5"/>
      <queryTableField id="6" name="CurrentVersion" tableColumnId="6"/>
    </queryTableFields>
  </queryTableRefresh>
</queryTable>
</file>

<file path=xl/tables/_rels/table1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01A0AF-B6EB-43F4-B8C7-E6CBF1A7FA8E}" name="T_Controls" displayName="T_Controls" ref="E116:N146" totalsRowShown="0" headerRowDxfId="125" headerRowBorderDxfId="124" tableBorderDxfId="123">
  <autoFilter ref="E116:N146" xr:uid="{12AED598-DBD3-410E-BBD0-8AD3FA0DD221}"/>
  <tableColumns count="10">
    <tableColumn id="1" xr3:uid="{F1C4D663-9201-439A-A666-1D434977DD76}" name="Control Type" dataDxfId="122"/>
    <tableColumn id="2" xr3:uid="{ABF36E37-3AF6-473D-8C18-15668037B117}" name="Description" dataDxfId="121"/>
    <tableColumn id="3" xr3:uid="{CA02E4E7-3A2C-4638-BA72-EE519E7B4C14}" name="Diameter" dataDxfId="120"/>
    <tableColumn id="4" xr3:uid="{4577DA45-53F6-4ECE-9D48-D6AEF489BF18}" name="Holding Capacity" dataDxfId="119"/>
    <tableColumn id="9" xr3:uid="{7C683839-5570-4B06-87ED-5D47B9837FDB}" name="Holding Capacity MAX" dataDxfId="118"/>
    <tableColumn id="5" xr3:uid="{63E8D9B8-9D68-4D65-B2B5-D11A36B20484}" name="Gear Ratio" dataDxfId="117"/>
    <tableColumn id="6" xr3:uid="{EE8D3171-98D3-4732-8E90-BF2586510EF3}" name="Friction" dataDxfId="116"/>
    <tableColumn id="7" xr3:uid="{424AF628-7CE1-480D-A477-24498FF8B2D9}" name="rpm" dataDxfId="115"/>
    <tableColumn id="8" xr3:uid="{E0D9C1D8-B520-4379-B0B8-50B1E878281C}" name="Capacity (kg)" dataDxfId="114">
      <calculatedColumnFormula>IFERROR(IF($H117&lt;&gt;"",(($H117)/((Tube_OD/2/1000)))/g,""),"-")</calculatedColumnFormula>
    </tableColumn>
    <tableColumn id="10" xr3:uid="{D324C483-3558-47DE-8A37-C4B1686451B0}" name="ChainCoveredLength" dataDxfId="1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79571F8-C5AD-48CA-9196-95E82B284F36}" name="T_Ballast" displayName="T_Ballast" ref="C99:E106" totalsRowShown="0" headerRowDxfId="112" headerRowBorderDxfId="111" tableBorderDxfId="110">
  <autoFilter ref="C99:E106" xr:uid="{68EF7EF7-B1FE-4909-A5DA-B48AEA970746}"/>
  <tableColumns count="3">
    <tableColumn id="1" xr3:uid="{AC1940AA-881C-438D-9387-7A2C8437A0CB}" name="Region" dataDxfId="109"/>
    <tableColumn id="3" xr3:uid="{A8F8E313-14BF-4B25-8EBD-E4A31CB2BD84}" name="Description" dataDxfId="108"/>
    <tableColumn id="4" xr3:uid="{ED709259-1CB8-4F90-B51A-E908C6090B87}" name="Mass/m (kg)" dataDxfId="10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7750C59-1B99-489F-8E26-16F0CC00566B}" name="T_Brackets" displayName="T_Brackets" ref="C159:I203" totalsRowShown="0" headerRowDxfId="106" headerRowBorderDxfId="105" tableBorderDxfId="104">
  <autoFilter ref="C159:I203" xr:uid="{652F9A5B-C24C-4E22-9592-4FABAB45B30A}"/>
  <tableColumns count="7">
    <tableColumn id="1" xr3:uid="{6F9BAB1D-D00F-489B-825D-E8B46B1BFBFB}" name="Column2" dataDxfId="103"/>
    <tableColumn id="2" xr3:uid="{D7ECA17F-9563-4685-84D3-6DF71C385A6E}" name="Column1" dataDxfId="102"/>
    <tableColumn id="7" xr3:uid="{AFEE422B-0B8B-4E9B-8D87-D2274C0243B9}" name="Region" dataDxfId="101"/>
    <tableColumn id="3" xr3:uid="{DDEE0CFC-299A-41ED-93D7-604BA2A4911B}" name="Codes" dataDxfId="100"/>
    <tableColumn id="4" xr3:uid="{45B52156-BD29-43E0-BCB3-D9E0698C432D}" name="Description" dataDxfId="99"/>
    <tableColumn id="5" xr3:uid="{94FB6EF2-D082-4713-9A23-04E84AC4C7D8}" name="Pitch" dataDxfId="98"/>
    <tableColumn id="6" xr3:uid="{237DB0AD-A8AD-4675-A5A4-E197F57379BB}" name="Max Roll Diameter" dataDxfId="9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9091E9-6D5D-4C7F-9413-880149DA23D8}" name="T_Adaptors" displayName="T_Adaptors" ref="C225:D236" totalsRowShown="0" headerRowDxfId="96">
  <autoFilter ref="C225:D236" xr:uid="{FED11BF6-5409-4455-8683-A38F558FD41E}"/>
  <tableColumns count="2">
    <tableColumn id="1" xr3:uid="{9823AEE9-4FD7-48D3-A53C-82F8F5577666}" name="Adaptor Code" dataDxfId="95"/>
    <tableColumn id="2" xr3:uid="{C7EAE2BD-CF0E-4BE5-BFAA-8A49212E929F}" name="ID" dataDxfId="9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E04C96-3E9F-47BA-ABCE-5173633D7AD3}" name="T_Tubes" displayName="T_Tubes" ref="C14:O38" totalsRowShown="0" headerRowDxfId="93" tableBorderDxfId="92">
  <autoFilter ref="C14:O38" xr:uid="{A1DEDEF6-B5C3-42E6-8F4B-F6F5F745CF83}"/>
  <tableColumns count="13">
    <tableColumn id="1" xr3:uid="{8EA428DD-DBD1-40F0-B34B-F4168D5094EF}" name="ESA Check" dataDxfId="91">
      <calculatedColumnFormula>IF(i_ControlType="Easy Spring Air",0,1)</calculatedColumnFormula>
    </tableColumn>
    <tableColumn id="2" xr3:uid="{18328F5F-2081-497E-863E-B8702C30661B}" name="System OnOff" dataDxfId="90">
      <calculatedColumnFormula>IF(i_ControlType="Easy Spring Air",0,1)</calculatedColumnFormula>
    </tableColumn>
    <tableColumn id="3" xr3:uid="{D148B1B4-9591-4151-9C9D-AF6C571A1E7C}" name="Region" dataDxfId="89"/>
    <tableColumn id="4" xr3:uid="{52461D9F-B7DD-43FA-87A1-807AE538B4F4}" name="Region OnOff" dataDxfId="88">
      <calculatedColumnFormula>IF(i_Region="Global",1,IF(OR(i_Region=E15,E15="Global"),1,0))</calculatedColumnFormula>
    </tableColumn>
    <tableColumn id="5" xr3:uid="{8CD2058C-C082-44DD-8F0D-DACF8E037302}" name="Codes" dataDxfId="87"/>
    <tableColumn id="6" xr3:uid="{BC64F39D-5283-470E-8B17-0D72326E39BB}" name="Description" dataDxfId="86"/>
    <tableColumn id="7" xr3:uid="{6ED76AE8-5796-4A10-BAFF-BD8CDED5C5F9}" name="Tube OD" dataDxfId="85"/>
    <tableColumn id="8" xr3:uid="{420D8005-9FC0-4844-8D9B-BE78E5944025}" name="Mass/m" dataDxfId="84"/>
    <tableColumn id="9" xr3:uid="{653069DB-5A63-449E-A154-5C3F9CBBDEC8}" name="I_min" dataDxfId="83"/>
    <tableColumn id="10" xr3:uid="{5ADD76A7-5F75-4091-AB00-2675C98D00CD}" name="EI" dataDxfId="82">
      <calculatedColumnFormula>(K15*10^-12)*AL_E</calculatedColumnFormula>
    </tableColumn>
    <tableColumn id="11" xr3:uid="{697318CD-936B-49D3-960A-BD44CD980DE8}" name="Max Area" dataDxfId="81"/>
    <tableColumn id="12" xr3:uid="{89C7FBEF-E89C-429D-9D2D-C0FF339C3E0F}" name="MaxLength" dataDxfId="80"/>
    <tableColumn id="13" xr3:uid="{E06072E7-8E12-41EF-AB2C-5768B8FFB6EB}" name="NumTurns" dataDxfId="79">
      <calculatedColumnFormula>(-T_Tubes[[#This Row],[Tube OD]]+SQRT(T_Tubes[[#This Row],[Tube OD]]^2+4*Fabric_Thickness*Design_Drop*1000/PI()))/(2*Fabric_Thickness)</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31C702E-D4D6-4997-8538-E1E8C61AE952}" name="T_WeightBars" displayName="T_WeightBars" ref="C79:H91" totalsRowShown="0" headerRowDxfId="78" headerRowBorderDxfId="77" tableBorderDxfId="76">
  <autoFilter ref="C79:H91" xr:uid="{18DC5F54-2DA1-40FE-91D0-5ED4ADB9D05C}"/>
  <tableColumns count="6">
    <tableColumn id="1" xr3:uid="{76EE3D7F-70BF-419A-A5A2-8A429794D14A}" name="Column1" dataDxfId="75"/>
    <tableColumn id="2" xr3:uid="{E149EA20-E9D5-45E4-9715-90076717C80F}" name="Region" dataDxfId="74"/>
    <tableColumn id="3" xr3:uid="{AF0E1FC9-E63D-4F21-808A-F2375C4E2509}" name="Codes" dataDxfId="73"/>
    <tableColumn id="4" xr3:uid="{FEA6612B-34B6-4A8E-879F-28A6CD65F705}" name="Description"/>
    <tableColumn id="5" xr3:uid="{ECE55269-0D62-456C-A0EC-C47512BB047A}" name="CSA"/>
    <tableColumn id="6" xr3:uid="{BEF45DCF-0D0D-4F2E-AE7D-E0405D0C3AA2}" name="Mass/m"/>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1203D50-12C5-4F57-A1AD-EF974CCBEBC8}" name="T_Links" displayName="T_Links" ref="C212:H218" totalsRowShown="0" headerRowDxfId="72" headerRowBorderDxfId="71" tableBorderDxfId="70">
  <autoFilter ref="C212:H218" xr:uid="{B1203D50-12C5-4F57-A1AD-EF974CCBEBC8}"/>
  <tableColumns count="6">
    <tableColumn id="1" xr3:uid="{CDDB1E7B-6289-4CAE-88A9-1081A973D0C9}" name="Column2" dataDxfId="69"/>
    <tableColumn id="2" xr3:uid="{0D8FEF4F-239B-449D-8244-D7ABE6DE8461}" name="Column1" dataDxfId="68"/>
    <tableColumn id="3" xr3:uid="{76E6DCC0-BB19-45E5-8E25-B9E3EFE86688}" name="Column3" dataDxfId="67"/>
    <tableColumn id="4" xr3:uid="{18CA1B7E-4454-4C08-B8A9-516C2342B532}" name="Description" dataDxfId="66"/>
    <tableColumn id="5" xr3:uid="{C4A70D0B-28B6-42FE-9E0C-24707C655879}" name="Torque" dataDxfId="65"/>
    <tableColumn id="6" xr3:uid="{23026C7D-130D-419F-AB68-4763145187C9}" name="TubeCompatibility"/>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81B004D-70E4-4844-8E63-7CC2856B058E}" name="T_LinkTubeCompat" displayName="T_LinkTubeCompat" ref="AP14:AT37" totalsRowShown="0" headerRowDxfId="64" dataDxfId="62" headerRowBorderDxfId="63" tableBorderDxfId="61" totalsRowBorderDxfId="60">
  <autoFilter ref="AP14:AT37" xr:uid="{481B004D-70E4-4844-8E63-7CC2856B058E}"/>
  <tableColumns count="5">
    <tableColumn id="1" xr3:uid="{BDAA4FC1-CA67-42A7-94DF-5A91A478AC83}" name="S60 Multi-Link" dataDxfId="59"/>
    <tableColumn id="2" xr3:uid="{1157457C-C65E-4492-88AF-6E5DBEDDD85D}" name="Easy-Link Skyline" dataDxfId="58"/>
    <tableColumn id="3" xr3:uid="{3241EC4E-B9B0-48DF-843D-AF4C89F8346A}" name="Easy-Link" dataDxfId="57"/>
    <tableColumn id="5" xr3:uid="{31FE61F5-788E-47A3-9138-1436732BE03C}" name="Easy-Link Uni-Joint" dataDxfId="56"/>
    <tableColumn id="4" xr3:uid="{67DFB873-16D7-447C-AF32-C503E7C0F085}" name="Infinite Link" dataDxfId="55"/>
  </tableColumns>
  <tableStyleInfo name="TableStyleLight2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F4A4F60-B6FF-4412-9BFC-8E888F808260}" name="T_minESABlindWidth" displayName="T_minESABlindWidth" ref="D276:G284" totalsRowShown="0" headerRowDxfId="54" tableBorderDxfId="53">
  <autoFilter ref="D276:G284" xr:uid="{FF4A4F60-B6FF-4412-9BFC-8E888F808260}"/>
  <tableColumns count="4">
    <tableColumn id="1" xr3:uid="{4A3B2FF1-C8FE-4E16-AB4D-7094150DF922}" name="Description"/>
    <tableColumn id="2" xr3:uid="{5A0C41C6-B756-4A37-BE1F-C4E6BF3503FA}" name="Limiter - STD" dataDxfId="52"/>
    <tableColumn id="3" xr3:uid="{4C73B0BE-F5D9-44BC-B757-803CD1F2A7F5}" name="Skyline Pin End (US Only)"/>
    <tableColumn id="4" xr3:uid="{A09B6ADF-9F0D-4FE7-BAE1-F2ACD12678FD}" name="Skyline HD Pin End (US Only)"/>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F24F63D-FD8B-49E0-B9E1-495E705592C8}" name="T_Idler" displayName="T_Idler" ref="E266:G269" totalsRowShown="0" headerRowDxfId="51" headerRowBorderDxfId="50" tableBorderDxfId="49">
  <autoFilter ref="E266:G269" xr:uid="{EF24F63D-FD8B-49E0-B9E1-495E705592C8}"/>
  <tableColumns count="3">
    <tableColumn id="1" xr3:uid="{3BA6BFDE-920D-412D-956F-2B5618CB0952}" name="Description"/>
    <tableColumn id="2" xr3:uid="{CFFBCA97-FC3E-47F4-A4A6-D5D4B3AA378F}" name="mm" dataDxfId="48">
      <calculatedColumnFormula>F271-$F$156</calculatedColumnFormula>
    </tableColumn>
    <tableColumn id="3" xr3:uid="{50276F0B-4CB6-418C-8018-21D17BAA4210}" name="Column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A38F88-C898-4E52-9534-8784007F30B8}" name="T_Fabric" displayName="T_Fabric" ref="B3:M100" totalsRowShown="0" headerRowDxfId="42" dataDxfId="40" headerRowBorderDxfId="41">
  <autoFilter ref="B3:M100" xr:uid="{A6A04821-0021-4E42-8D63-569F4C95C112}"/>
  <sortState xmlns:xlrd2="http://schemas.microsoft.com/office/spreadsheetml/2017/richdata2" ref="B4:L81">
    <sortCondition ref="B3:B81"/>
  </sortState>
  <tableColumns count="12">
    <tableColumn id="1" xr3:uid="{9DC9ECDE-436C-4AEA-AC23-C0402DCDACE3}" name="Description" dataDxfId="39" totalsRowDxfId="38"/>
    <tableColumn id="5" xr3:uid="{F679E393-6887-46BA-A0D5-744B0E49C19E}" name="Thickness_Metric" dataDxfId="37" totalsRowDxfId="36">
      <calculatedColumnFormula>E4*25.4</calculatedColumnFormula>
    </tableColumn>
    <tableColumn id="4" xr3:uid="{30DA4F46-7695-4869-B5AB-FCF5537560CF}" name="Density_Metric" dataDxfId="35" totalsRowDxfId="34">
      <calculatedColumnFormula>33.90574744*F4</calculatedColumnFormula>
    </tableColumn>
    <tableColumn id="3" xr3:uid="{F3851E0D-6048-443C-B860-8D1BD2F23FC9}" name="Thickness_Imperial" dataDxfId="33" totalsRowDxfId="32"/>
    <tableColumn id="2" xr3:uid="{D482BFAE-4690-4935-9CF3-F26477E29EAA}" name="Density_Imperial" dataDxfId="31" totalsRowDxfId="30"/>
    <tableColumn id="7" xr3:uid="{F4C8FB3B-091D-4BFF-A4DB-19E24790454F}" name="RollWidth_Imperial" dataDxfId="29" totalsRowDxfId="28"/>
    <tableColumn id="8" xr3:uid="{C3F2EAB3-E8FD-4721-8DBE-306F84360DEE}" name="RollWidth_Metric" dataDxfId="27" totalsRowDxfId="26"/>
    <tableColumn id="9" xr3:uid="{AC6E2803-3F41-4695-9E5B-2C7C0B90A09F}" name="RRYesNo" dataDxfId="25" totalsRowDxfId="24"/>
    <tableColumn id="6" xr3:uid="{40EA9B04-96C4-4471-BE0A-C860128F2AF4}" name="RR" dataDxfId="23" totalsRowDxfId="22"/>
    <tableColumn id="11" xr3:uid="{9BC02A56-F472-42E9-BAF8-91E7274082AF}" name="Region" dataDxfId="21" totalsRowDxfId="20"/>
    <tableColumn id="10" xr3:uid="{E958125C-191D-4CA3-86D2-861B3565BCC0}" name="SearchReturn" dataDxfId="19" totalsRowDxfId="18">
      <calculatedColumnFormula>IF(AND(i_Fabric&lt;&gt;"",i_Fabric=T_Fabric[[#This Row],[Description]]),1,0)</calculatedColumnFormula>
    </tableColumn>
    <tableColumn id="12" xr3:uid="{5FF6582A-FD2E-4C46-9379-7EFD7AAE0BBB}" name="RegionReturn" dataDxfId="17" totalsRowDxfId="16">
      <calculatedColumnFormula>IF(i_Region="Global",1,IF(OR(i_Region=T_Fabric[[#This Row],[Region]],T_Fabric[[#This Row],[Region]]="Global"),1,0))</calculatedColumnFormula>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E160B7D-5559-4EE5-9F49-EA74334EF5ED}" name="T_Dictionary" displayName="T_Dictionary" ref="E2:H154" totalsRowShown="0" headerRowDxfId="15" headerRowBorderDxfId="14">
  <autoFilter ref="E2:H154" xr:uid="{9F8601EF-3E02-4BDF-9F9E-560E5C388C1D}"/>
  <tableColumns count="4">
    <tableColumn id="1" xr3:uid="{433872F6-DD91-40E7-A425-CDDD8BB50A30}" name="English"/>
    <tableColumn id="5" xr3:uid="{2C323F23-42DF-4273-A8C0-B8BCDEE22ED1}" name="Column2"/>
    <tableColumn id="2" xr3:uid="{70954FC5-E5B2-436A-BC35-C888F6B088CA}" name="Español"/>
    <tableColumn id="3" xr3:uid="{1AE00AB7-E72A-4599-9179-EEBED94B2995}" name="Françai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EAA1066-F651-4938-9353-F2E4E70B39B9}" name="T_Units" displayName="T_Units" ref="AB3:AE18" totalsRowShown="0" dataDxfId="13">
  <autoFilter ref="AB3:AE18" xr:uid="{CDE70247-FE69-45AF-B521-84AA09348DAC}"/>
  <tableColumns count="4">
    <tableColumn id="4" xr3:uid="{143C383E-8AC3-47DC-AEC5-7E13F48B4B28}" name="Index" dataDxfId="12"/>
    <tableColumn id="1" xr3:uid="{4B805E57-F54A-4BCA-BB5B-200CCA533532}" name="Metric" dataDxfId="11"/>
    <tableColumn id="2" xr3:uid="{9B4157F5-9722-4D20-82E9-CA6A690FE7EC}" name="Imperial" dataDxfId="10"/>
    <tableColumn id="3" xr3:uid="{6ADA4016-FC6F-468C-9E99-FBC4AC0A4F9E}" name="Factor" dataDxfId="9"/>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DEB3285-BDF0-4923-8FEB-8DF94619FE0A}" name="RevTable" displayName="RevTable" ref="AW2:AX3" tableType="queryTable" totalsRowShown="0">
  <autoFilter ref="AW2:AX3" xr:uid="{2DEB3285-BDF0-4923-8FEB-8DF94619FE0A}"/>
  <tableColumns count="2">
    <tableColumn id="5" xr3:uid="{9B0F0E54-D870-4262-AE8C-FB1C0E6123EA}" uniqueName="5" name="DocumentName" queryTableFieldId="5" dataDxfId="8"/>
    <tableColumn id="6" xr3:uid="{C14849C4-D090-45AD-BA24-6B97AEB3A4F9}" uniqueName="6" name="CurrentVersion" queryTableFieldId="6"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16" dT="2021-02-27T06:51:58.61" personId="{F38BFB8E-2C10-44D2-88DE-E9A541A80FC9}" id="{81A48E23-BE8E-4C9E-8D0E-0171DFA8D3DB}">
    <text>based on selected tube.</text>
  </threadedComment>
</ThreadedComments>
</file>

<file path=xl/threadedComments/threadedComment2.xml><?xml version="1.0" encoding="utf-8"?>
<ThreadedComments xmlns="http://schemas.microsoft.com/office/spreadsheetml/2018/threadedcomments" xmlns:x="http://schemas.openxmlformats.org/spreadsheetml/2006/main">
  <threadedComment ref="B7" dT="2023-04-05T00:26:43.12" personId="{D90561E2-9B60-4991-A7E5-CFA17F8C5C2E}" id="{8A903778-EE7D-460C-BAC5-0FCA80D49543}">
    <text>Published charts reference option 18 light booster</text>
  </threadedComment>
  <threadedComment ref="B8" dT="2023-04-05T02:04:57.36" personId="{D90561E2-9B60-4991-A7E5-CFA17F8C5C2E}" id="{3BE30409-D623-4619-B7E6-DA9B34B6D3A9}">
    <text>Published charts use 0.0034</text>
  </threadedComment>
  <threadedComment ref="B12" dT="2023-03-14T02:50:53.76" personId="{798D74E3-E154-4862-AF03-F2513534B997}" id="{C1C7158D-4721-4EA8-9DD4-A98E51C10DF2}">
    <text xml:space="preserve">0 = Check for LL
1 = Skip Check for LL
</text>
  </threadedComment>
</ThreadedComments>
</file>

<file path=xl/threadedComments/threadedComment3.xml><?xml version="1.0" encoding="utf-8"?>
<ThreadedComments xmlns="http://schemas.microsoft.com/office/spreadsheetml/2018/threadedcomments" xmlns:x="http://schemas.openxmlformats.org/spreadsheetml/2006/main">
  <threadedComment ref="C62" dT="2024-03-20T06:12:44.76" personId="{798D74E3-E154-4862-AF03-F2513534B997}" id="{4BF08A9B-C6B5-4FBF-851E-B862FCC108F6}">
    <text>Returns value corresponding to lowest spring rate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cs.microsoft.com/en-us/deployoffice/security/internet-macros-blocked"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comments" Target="../comments2.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microsoft.com/office/2017/10/relationships/threadedComment" Target="../threadedComments/threadedComment2.xml"/><Relationship Id="rId5" Type="http://schemas.openxmlformats.org/officeDocument/2006/relationships/comments" Target="../comments3.xml"/><Relationship Id="rId4" Type="http://schemas.openxmlformats.org/officeDocument/2006/relationships/ctrlProp" Target="../ctrlProps/ctrlProp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7" Type="http://schemas.microsoft.com/office/2017/10/relationships/threadedComment" Target="../threadedComments/threadedComment3.x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omments" Target="../comments4.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5" Type="http://schemas.openxmlformats.org/officeDocument/2006/relationships/comments" Target="../comments5.xml"/><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6E77-A813-4CBC-83FB-3480B4E65D5C}">
  <sheetPr codeName="Sheet11"/>
  <dimension ref="B2:AH31"/>
  <sheetViews>
    <sheetView showGridLines="0" showRowColHeaders="0" showRuler="0" workbookViewId="0">
      <selection activeCell="B2" sqref="B2"/>
    </sheetView>
  </sheetViews>
  <sheetFormatPr defaultRowHeight="14.5"/>
  <cols>
    <col min="1" max="2" width="3.453125" customWidth="1"/>
    <col min="18" max="18" width="3.54296875" customWidth="1"/>
    <col min="19" max="19" width="3.453125" customWidth="1"/>
  </cols>
  <sheetData>
    <row r="2" spans="2:34" ht="24" thickBot="1">
      <c r="B2" s="616" t="s">
        <v>1000</v>
      </c>
    </row>
    <row r="3" spans="2:34" ht="10" customHeight="1">
      <c r="B3" s="540"/>
      <c r="S3" s="541"/>
      <c r="T3" s="542"/>
      <c r="U3" s="542"/>
      <c r="V3" s="542"/>
      <c r="W3" s="542"/>
      <c r="X3" s="542"/>
      <c r="Y3" s="542"/>
      <c r="Z3" s="542"/>
      <c r="AA3" s="542"/>
      <c r="AB3" s="543"/>
    </row>
    <row r="4" spans="2:34" ht="23.25" customHeight="1">
      <c r="B4" s="692" t="s">
        <v>843</v>
      </c>
      <c r="C4" s="692"/>
      <c r="D4" s="692"/>
      <c r="E4" s="692"/>
      <c r="F4" s="692"/>
      <c r="G4" s="692"/>
      <c r="H4" s="692"/>
      <c r="I4" s="692"/>
      <c r="J4" s="692"/>
      <c r="K4" s="692"/>
      <c r="L4" s="692"/>
      <c r="M4" s="692"/>
      <c r="N4" s="692"/>
      <c r="O4" s="692"/>
      <c r="P4" s="692"/>
      <c r="Q4" s="692"/>
      <c r="S4" s="544"/>
      <c r="AB4" s="545"/>
    </row>
    <row r="5" spans="2:34" ht="10" customHeight="1">
      <c r="B5" s="692"/>
      <c r="C5" s="692"/>
      <c r="D5" s="692"/>
      <c r="E5" s="692"/>
      <c r="F5" s="692"/>
      <c r="G5" s="692"/>
      <c r="H5" s="692"/>
      <c r="I5" s="692"/>
      <c r="J5" s="692"/>
      <c r="K5" s="692"/>
      <c r="L5" s="692"/>
      <c r="M5" s="692"/>
      <c r="N5" s="692"/>
      <c r="O5" s="692"/>
      <c r="P5" s="692"/>
      <c r="Q5" s="692"/>
      <c r="S5" s="544"/>
      <c r="AB5" s="545"/>
    </row>
    <row r="6" spans="2:34" ht="10" customHeight="1">
      <c r="B6" s="692"/>
      <c r="C6" s="692"/>
      <c r="D6" s="692"/>
      <c r="E6" s="692"/>
      <c r="F6" s="692"/>
      <c r="G6" s="692"/>
      <c r="H6" s="692"/>
      <c r="I6" s="692"/>
      <c r="J6" s="692"/>
      <c r="K6" s="692"/>
      <c r="L6" s="692"/>
      <c r="M6" s="692"/>
      <c r="N6" s="692"/>
      <c r="O6" s="692"/>
      <c r="P6" s="692"/>
      <c r="Q6" s="692"/>
      <c r="S6" s="544"/>
      <c r="AB6" s="545"/>
    </row>
    <row r="7" spans="2:34" ht="10" customHeight="1">
      <c r="B7" s="540"/>
      <c r="S7" s="544"/>
      <c r="AB7" s="545"/>
    </row>
    <row r="8" spans="2:34" ht="26.25" customHeight="1">
      <c r="B8" s="540" t="s">
        <v>847</v>
      </c>
      <c r="S8" s="544"/>
      <c r="T8" s="550" t="s">
        <v>839</v>
      </c>
      <c r="AB8" s="545"/>
    </row>
    <row r="9" spans="2:34" ht="24" thickBot="1">
      <c r="C9" s="540" t="s">
        <v>836</v>
      </c>
      <c r="S9" s="547"/>
      <c r="T9" s="548"/>
      <c r="U9" s="548"/>
      <c r="V9" s="548"/>
      <c r="W9" s="548"/>
      <c r="X9" s="548"/>
      <c r="Y9" s="548"/>
      <c r="Z9" s="548"/>
      <c r="AA9" s="548"/>
      <c r="AB9" s="549"/>
    </row>
    <row r="10" spans="2:34" ht="15" thickBot="1"/>
    <row r="11" spans="2:34">
      <c r="B11" s="541"/>
      <c r="C11" s="542"/>
      <c r="D11" s="542"/>
      <c r="E11" s="542"/>
      <c r="F11" s="542"/>
      <c r="G11" s="542"/>
      <c r="H11" s="542"/>
      <c r="I11" s="542"/>
      <c r="J11" s="542"/>
      <c r="K11" s="542"/>
      <c r="L11" s="542"/>
      <c r="M11" s="542"/>
      <c r="N11" s="542"/>
      <c r="O11" s="542"/>
      <c r="P11" s="542"/>
      <c r="Q11" s="543"/>
      <c r="S11" s="541"/>
      <c r="T11" s="542"/>
      <c r="U11" s="542"/>
      <c r="V11" s="542"/>
      <c r="W11" s="542"/>
      <c r="X11" s="542"/>
      <c r="Y11" s="542"/>
      <c r="Z11" s="542"/>
      <c r="AA11" s="542"/>
      <c r="AB11" s="542"/>
      <c r="AC11" s="542"/>
      <c r="AD11" s="542"/>
      <c r="AE11" s="542"/>
      <c r="AF11" s="542"/>
      <c r="AG11" s="542"/>
      <c r="AH11" s="543"/>
    </row>
    <row r="12" spans="2:34">
      <c r="B12" s="544"/>
      <c r="Q12" s="545"/>
      <c r="S12" s="544"/>
      <c r="AH12" s="545"/>
    </row>
    <row r="13" spans="2:34">
      <c r="B13" s="544"/>
      <c r="Q13" s="545"/>
      <c r="S13" s="544"/>
      <c r="AH13" s="545"/>
    </row>
    <row r="14" spans="2:34" ht="15.5">
      <c r="B14" s="546"/>
      <c r="C14" s="217" t="s">
        <v>838</v>
      </c>
      <c r="E14" s="551" t="s">
        <v>837</v>
      </c>
      <c r="Q14" s="545"/>
      <c r="S14" s="544"/>
      <c r="AH14" s="545"/>
    </row>
    <row r="15" spans="2:34">
      <c r="B15" s="544"/>
      <c r="Q15" s="545"/>
      <c r="S15" s="544"/>
      <c r="AH15" s="545"/>
    </row>
    <row r="16" spans="2:34" ht="36">
      <c r="B16" s="544"/>
      <c r="C16" s="550" t="s">
        <v>840</v>
      </c>
      <c r="Q16" s="545"/>
      <c r="S16" s="544"/>
      <c r="AH16" s="545"/>
    </row>
    <row r="17" spans="2:34" ht="36">
      <c r="B17" s="544"/>
      <c r="C17" s="550" t="s">
        <v>841</v>
      </c>
      <c r="Q17" s="545"/>
      <c r="S17" s="544"/>
      <c r="AH17" s="545"/>
    </row>
    <row r="18" spans="2:34" ht="36">
      <c r="B18" s="544"/>
      <c r="C18" s="550" t="s">
        <v>844</v>
      </c>
      <c r="Q18" s="545"/>
      <c r="S18" s="544"/>
      <c r="AH18" s="545"/>
    </row>
    <row r="19" spans="2:34" ht="36">
      <c r="B19" s="544"/>
      <c r="C19" s="550" t="s">
        <v>842</v>
      </c>
      <c r="Q19" s="545"/>
      <c r="S19" s="544"/>
      <c r="AH19" s="545"/>
    </row>
    <row r="20" spans="2:34">
      <c r="B20" s="544"/>
      <c r="Q20" s="545"/>
      <c r="S20" s="544"/>
      <c r="AH20" s="545"/>
    </row>
    <row r="21" spans="2:34">
      <c r="B21" s="544"/>
      <c r="Q21" s="545"/>
      <c r="S21" s="544"/>
      <c r="AH21" s="545"/>
    </row>
    <row r="22" spans="2:34">
      <c r="B22" s="544"/>
      <c r="Q22" s="545"/>
      <c r="S22" s="544"/>
      <c r="AH22" s="545"/>
    </row>
    <row r="23" spans="2:34" ht="73.5" customHeight="1">
      <c r="B23" s="544"/>
      <c r="Q23" s="545"/>
      <c r="S23" s="544"/>
      <c r="T23" s="691" t="s">
        <v>846</v>
      </c>
      <c r="U23" s="691"/>
      <c r="V23" s="691"/>
      <c r="W23" s="691"/>
      <c r="X23" s="691"/>
      <c r="Y23" s="691"/>
      <c r="Z23" s="691"/>
      <c r="AA23" s="691"/>
      <c r="AB23" s="691"/>
      <c r="AC23" s="691"/>
      <c r="AD23" s="691"/>
      <c r="AE23" s="691"/>
      <c r="AF23" s="691"/>
      <c r="AG23" s="691"/>
      <c r="AH23" s="545"/>
    </row>
    <row r="24" spans="2:34">
      <c r="B24" s="544"/>
      <c r="Q24" s="545"/>
      <c r="S24" s="544"/>
      <c r="T24" s="691"/>
      <c r="U24" s="691"/>
      <c r="V24" s="691"/>
      <c r="W24" s="691"/>
      <c r="X24" s="691"/>
      <c r="Y24" s="691"/>
      <c r="Z24" s="691"/>
      <c r="AA24" s="691"/>
      <c r="AB24" s="691"/>
      <c r="AC24" s="691"/>
      <c r="AD24" s="691"/>
      <c r="AE24" s="691"/>
      <c r="AF24" s="691"/>
      <c r="AG24" s="691"/>
      <c r="AH24" s="545"/>
    </row>
    <row r="25" spans="2:34">
      <c r="B25" s="544"/>
      <c r="Q25" s="545"/>
      <c r="S25" s="544"/>
      <c r="T25" s="691"/>
      <c r="U25" s="691"/>
      <c r="V25" s="691"/>
      <c r="W25" s="691"/>
      <c r="X25" s="691"/>
      <c r="Y25" s="691"/>
      <c r="Z25" s="691"/>
      <c r="AA25" s="691"/>
      <c r="AB25" s="691"/>
      <c r="AC25" s="691"/>
      <c r="AD25" s="691"/>
      <c r="AE25" s="691"/>
      <c r="AF25" s="691"/>
      <c r="AG25" s="691"/>
      <c r="AH25" s="545"/>
    </row>
    <row r="26" spans="2:34" ht="36">
      <c r="B26" s="544"/>
      <c r="Q26" s="545"/>
      <c r="S26" s="544"/>
      <c r="T26" s="550" t="s">
        <v>845</v>
      </c>
      <c r="AH26" s="545"/>
    </row>
    <row r="27" spans="2:34">
      <c r="B27" s="544"/>
      <c r="Q27" s="545"/>
      <c r="S27" s="544"/>
      <c r="AH27" s="545"/>
    </row>
    <row r="28" spans="2:34">
      <c r="B28" s="544"/>
      <c r="Q28" s="545"/>
      <c r="S28" s="544"/>
      <c r="AH28" s="545"/>
    </row>
    <row r="29" spans="2:34">
      <c r="B29" s="544"/>
      <c r="Q29" s="545"/>
      <c r="S29" s="544"/>
      <c r="AH29" s="545"/>
    </row>
    <row r="30" spans="2:34">
      <c r="B30" s="544"/>
      <c r="Q30" s="545"/>
      <c r="S30" s="544"/>
      <c r="AH30" s="545"/>
    </row>
    <row r="31" spans="2:34" ht="15" thickBot="1">
      <c r="B31" s="547"/>
      <c r="C31" s="548"/>
      <c r="D31" s="548"/>
      <c r="E31" s="548"/>
      <c r="F31" s="548"/>
      <c r="G31" s="548"/>
      <c r="H31" s="548"/>
      <c r="I31" s="548"/>
      <c r="J31" s="548"/>
      <c r="K31" s="548"/>
      <c r="L31" s="548"/>
      <c r="M31" s="548"/>
      <c r="N31" s="548"/>
      <c r="O31" s="548"/>
      <c r="P31" s="548"/>
      <c r="Q31" s="549"/>
      <c r="S31" s="547"/>
      <c r="T31" s="548"/>
      <c r="U31" s="548"/>
      <c r="V31" s="548"/>
      <c r="W31" s="548"/>
      <c r="X31" s="548"/>
      <c r="Y31" s="548"/>
      <c r="Z31" s="548"/>
      <c r="AA31" s="548"/>
      <c r="AB31" s="548"/>
      <c r="AC31" s="548"/>
      <c r="AD31" s="548"/>
      <c r="AE31" s="548"/>
      <c r="AF31" s="548"/>
      <c r="AG31" s="548"/>
      <c r="AH31" s="549"/>
    </row>
  </sheetData>
  <sheetProtection algorithmName="SHA-512" hashValue="xjRv5WlHTzeDql0mJBlJWETvjfnDBOm4s30Ml3HQmu21+OCtyaW/95MWqhJPXXW4kaHeheqXVXqC0y8isoUIYA==" saltValue="m0CwewYkEm/t8FJKVI/sgQ==" spinCount="100000" sheet="1" objects="1" scenarios="1"/>
  <dataConsolidate/>
  <mergeCells count="2">
    <mergeCell ref="T23:AG25"/>
    <mergeCell ref="B4:Q6"/>
  </mergeCells>
  <hyperlinks>
    <hyperlink ref="E14" r:id="rId1" location="remove-mark-of-the-web-from-a-file" xr:uid="{D800EF33-2E72-470E-AC4F-D4A29C9E355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2893-4155-4A61-AD87-83188B234828}">
  <sheetPr codeName="Sheet7">
    <tabColor rgb="FF636B6E"/>
    <pageSetUpPr fitToPage="1"/>
  </sheetPr>
  <dimension ref="A1:Y57"/>
  <sheetViews>
    <sheetView showGridLines="0" showRowColHeaders="0" tabSelected="1" showRuler="0" workbookViewId="0">
      <selection activeCell="E8" sqref="E8"/>
    </sheetView>
  </sheetViews>
  <sheetFormatPr defaultColWidth="0" defaultRowHeight="14.5" zeroHeight="1"/>
  <cols>
    <col min="1" max="2" width="2.453125" style="82" customWidth="1"/>
    <col min="3" max="3" width="30.54296875" style="82" customWidth="1"/>
    <col min="4" max="4" width="8.984375E-2" style="82" customWidth="1"/>
    <col min="5" max="5" width="30.54296875" style="191" customWidth="1"/>
    <col min="6" max="6" width="1.54296875" style="191" customWidth="1"/>
    <col min="7" max="7" width="33.54296875" style="82" customWidth="1"/>
    <col min="8" max="8" width="0.1796875" style="82" customWidth="1"/>
    <col min="9" max="9" width="45.54296875" style="191" customWidth="1"/>
    <col min="10" max="10" width="1.54296875" style="83" customWidth="1"/>
    <col min="11" max="11" width="35.54296875" style="83" customWidth="1"/>
    <col min="12" max="12" width="30.54296875" style="83" customWidth="1"/>
    <col min="13" max="14" width="2.453125" style="83" customWidth="1"/>
    <col min="15" max="15" width="5.54296875" style="82" customWidth="1"/>
    <col min="16" max="16" width="9.1796875" style="330" hidden="1" customWidth="1"/>
    <col min="17" max="17" width="9.1796875" style="82" hidden="1" customWidth="1"/>
    <col min="18" max="18" width="5.1796875" style="82" hidden="1" customWidth="1"/>
    <col min="19" max="19" width="22.1796875" style="82" hidden="1" customWidth="1"/>
    <col min="20" max="20" width="21.453125" style="82" hidden="1" customWidth="1"/>
    <col min="21" max="21" width="9.1796875" style="82" hidden="1" customWidth="1"/>
    <col min="22" max="22" width="14.453125" style="82" hidden="1" customWidth="1"/>
    <col min="23" max="24" width="9.1796875" style="82" hidden="1" customWidth="1"/>
    <col min="25" max="25" width="36.1796875" style="82" hidden="1" customWidth="1"/>
    <col min="26" max="33" width="9.1796875" style="82" hidden="1" customWidth="1"/>
    <col min="34" max="16384" width="9.1796875" style="82" hidden="1"/>
  </cols>
  <sheetData>
    <row r="1" spans="2:25" ht="16.5" customHeight="1">
      <c r="D1" s="26"/>
      <c r="L1" s="445" t="s">
        <v>409</v>
      </c>
      <c r="P1" s="337"/>
      <c r="Q1" s="338"/>
      <c r="R1" s="338"/>
      <c r="S1" s="338"/>
      <c r="T1" s="338"/>
      <c r="U1" s="338"/>
      <c r="V1" s="338"/>
      <c r="W1" s="338"/>
      <c r="X1" s="338"/>
      <c r="Y1" s="338"/>
    </row>
    <row r="2" spans="2:25" ht="6" customHeight="1">
      <c r="C2"/>
      <c r="D2"/>
    </row>
    <row r="3" spans="2:25" ht="25" customHeight="1" thickBot="1">
      <c r="C3"/>
      <c r="D3"/>
      <c r="E3" s="393" t="str" cm="1">
        <f t="array" ref="E3">z_Title</f>
        <v>Indoor Roller Shade Calculator</v>
      </c>
      <c r="F3" s="231"/>
      <c r="I3" s="552"/>
      <c r="M3" s="231"/>
      <c r="N3" s="231"/>
      <c r="Q3" s="153" t="s">
        <v>700</v>
      </c>
      <c r="R3" s="437" t="s">
        <v>219</v>
      </c>
    </row>
    <row r="4" spans="2:25" ht="15.75" customHeight="1">
      <c r="C4" s="721" t="str" cm="1">
        <f t="array" aca="1" ref="C4" ca="1">IF(excel_ver_error=TRUE,"Excel version incompatible. 
Microsoft Excel 2021 or Excel 365 required.","")</f>
        <v/>
      </c>
      <c r="D4" s="721"/>
      <c r="E4" s="721"/>
      <c r="G4" s="698" t="s">
        <v>707</v>
      </c>
      <c r="H4" s="699"/>
      <c r="I4" s="700"/>
      <c r="J4" s="231"/>
      <c r="M4" s="231"/>
      <c r="N4" s="231"/>
    </row>
    <row r="5" spans="2:25" ht="15.75" customHeight="1" thickBot="1">
      <c r="C5" s="721"/>
      <c r="D5" s="721"/>
      <c r="E5" s="721"/>
      <c r="G5" s="712" t="str">
        <f>IFERROR(IF(CurrentVersionReturn=TRUE(),"Current Version.","Please download the latest version from the Rollease Acmeda Document Library "),"")</f>
        <v>Current Version.</v>
      </c>
      <c r="H5" s="713"/>
      <c r="I5" s="714"/>
      <c r="J5" s="231"/>
      <c r="L5" s="669" t="str">
        <f>z_LastUpdate&amp;": "&amp;"04-Jun-2026"</f>
        <v>Release: 04-Jun-2026</v>
      </c>
      <c r="M5" s="231"/>
      <c r="N5" s="231"/>
    </row>
    <row r="6" spans="2:25" s="175" customFormat="1" ht="8.15" customHeight="1">
      <c r="B6" s="82"/>
      <c r="C6" s="82"/>
      <c r="D6" s="82"/>
      <c r="E6" s="191"/>
      <c r="F6" s="191"/>
      <c r="G6" s="149"/>
      <c r="H6" s="149"/>
      <c r="I6" s="1"/>
      <c r="J6" s="231"/>
      <c r="K6" s="231"/>
      <c r="L6" s="231"/>
      <c r="M6" s="231"/>
      <c r="N6" s="231"/>
      <c r="P6" s="331"/>
    </row>
    <row r="7" spans="2:25" s="175" customFormat="1" ht="25" customHeight="1">
      <c r="B7" s="82"/>
      <c r="C7" s="703" t="str">
        <f>z_Inputs</f>
        <v>INPUTS</v>
      </c>
      <c r="D7" s="704"/>
      <c r="E7" s="704"/>
      <c r="F7" s="704"/>
      <c r="G7" s="704"/>
      <c r="H7" s="704"/>
      <c r="I7" s="704"/>
      <c r="J7" s="231"/>
      <c r="K7" s="705" t="str">
        <f>z_Outputs</f>
        <v>OUTPUTS</v>
      </c>
      <c r="L7" s="706"/>
      <c r="M7" s="231"/>
      <c r="N7" s="231"/>
      <c r="P7" s="331"/>
      <c r="Q7" s="348" t="str">
        <f>z_Language</f>
        <v>Language</v>
      </c>
      <c r="R7" s="349" t="str">
        <f>z_NoteSelect</f>
        <v>Select from dropdown list.</v>
      </c>
      <c r="S7" s="350" t="s">
        <v>221</v>
      </c>
    </row>
    <row r="8" spans="2:25" s="175" customFormat="1" ht="25" customHeight="1">
      <c r="C8" s="464" t="str">
        <f>z_Region</f>
        <v>Region</v>
      </c>
      <c r="D8" s="351" t="str">
        <f>z_NoteSelect</f>
        <v>Select from dropdown list.</v>
      </c>
      <c r="E8" s="429" t="s">
        <v>265</v>
      </c>
      <c r="F8" s="191"/>
      <c r="G8" s="464" t="str">
        <f>z_Selectwb</f>
        <v>Select Weight Bar</v>
      </c>
      <c r="H8" s="351" t="str">
        <f>z_NoteSelect</f>
        <v>Select from dropdown list.</v>
      </c>
      <c r="I8" s="352"/>
      <c r="K8" s="492" t="str">
        <f>z_fabricwbmass</f>
        <v>Fabric + Weight Bar Mass</v>
      </c>
      <c r="L8" s="363" t="str">
        <f>IFERROR(o_fabric_wb_mass1*IF(i_units_Out="Metric",1,INDEX(T_Units[Factor],MATCH("kg",T_Units[Metric],0))),"-")</f>
        <v>-</v>
      </c>
      <c r="P8" s="331"/>
    </row>
    <row r="9" spans="2:25" ht="25" customHeight="1">
      <c r="B9" s="175"/>
      <c r="C9" s="348" t="str">
        <f>z_Units</f>
        <v>Units</v>
      </c>
      <c r="D9" s="349" t="str">
        <f>z_NoteSelect</f>
        <v>Select from dropdown list.</v>
      </c>
      <c r="E9" s="350" t="s">
        <v>219</v>
      </c>
      <c r="G9" s="356" t="str">
        <f>z_SelectBallast</f>
        <v>Select Ballast</v>
      </c>
      <c r="H9" s="351" t="str">
        <f>z_NoteSelect</f>
        <v>Select from dropdown list.</v>
      </c>
      <c r="I9" s="355"/>
      <c r="K9" s="348" t="str">
        <f>z_ControlCapacity</f>
        <v>Control Holding Capacity</v>
      </c>
      <c r="L9" s="364" t="str">
        <f>IFERROR(Control_BoosterCapacity_kg*IF(i_units_Out="Metric",1,INDEX(T_Units[Factor],MATCH("kg",T_Units[Metric],0))),"")</f>
        <v/>
      </c>
      <c r="S9" s="350"/>
    </row>
    <row r="10" spans="2:25" ht="25" customHeight="1">
      <c r="C10" s="348" t="s">
        <v>74</v>
      </c>
      <c r="D10" s="413"/>
      <c r="E10" s="633">
        <v>0.105</v>
      </c>
      <c r="G10" s="356" t="str" cm="1">
        <f t="array" ref="G10">z_wbBallastWeight</f>
        <v>Weight Bar + Ballast Total Weight</v>
      </c>
      <c r="H10" s="357"/>
      <c r="I10" s="358" t="str">
        <f>IFERROR(wb_Ballast_UnitMass*1000*IF(i_units_Out="Metric",1,INDEX(T_Units[Factor],MATCH("g/m",T_Units[Metric],0))),"")</f>
        <v/>
      </c>
      <c r="K10" s="348" t="str">
        <f>z_TubeRotations</f>
        <v># Tube Rotations</v>
      </c>
      <c r="L10" s="365" t="str">
        <f>IFERROR(ROUND(Tube_Rotations,1)&amp;" "&amp;z_Turns,"")</f>
        <v/>
      </c>
      <c r="Q10" s="190"/>
      <c r="T10" t="s">
        <v>1032</v>
      </c>
      <c r="U10" s="82" t="e">
        <f>INDEX(T_Controls[ChainCoveredLength],MATCH(i_Control,T_Controls[Description],0))</f>
        <v>#N/A</v>
      </c>
      <c r="V10" t="s">
        <v>12</v>
      </c>
    </row>
    <row r="11" spans="2:25" ht="25" customHeight="1">
      <c r="C11" s="348" t="s">
        <v>820</v>
      </c>
      <c r="D11" s="349"/>
      <c r="E11" s="350">
        <v>1</v>
      </c>
      <c r="G11" s="348" t="str" cm="1">
        <f t="array" ref="G11">z_CustomWeight</f>
        <v>Custom Weight</v>
      </c>
      <c r="H11" s="457" t="str">
        <f>IFERROR(z_EnterValue&amp;" ("&amp;INDEX(T_Units[],5,MATCH(i_units_Out,T_Units[#Headers],0))&amp;")","")</f>
        <v>Enter value (g/m)</v>
      </c>
      <c r="I11" s="411"/>
      <c r="K11" s="348" t="str">
        <f>z_rollDiameter</f>
        <v>Fabric Roll Diameter</v>
      </c>
      <c r="L11" s="364" t="str">
        <f>IFERROR(((Tube_Rotations+i_pwa)*Fabric_Thickness*2+Tube_OD)*IF(i_units_Out="Metric",1,INDEX(T_Units[Factor],MATCH("mm",T_Units[Metric],0))),"")</f>
        <v/>
      </c>
      <c r="Q11"/>
      <c r="T11" t="s">
        <v>1027</v>
      </c>
      <c r="U11" s="82">
        <v>15</v>
      </c>
      <c r="V11" t="s">
        <v>12</v>
      </c>
    </row>
    <row r="12" spans="2:25" ht="10" customHeight="1">
      <c r="C12" s="496"/>
      <c r="D12" s="418"/>
      <c r="E12" s="427"/>
      <c r="G12" s="496"/>
      <c r="J12" s="231"/>
      <c r="K12" s="446"/>
      <c r="M12" s="231"/>
      <c r="N12" s="231"/>
      <c r="Q12"/>
    </row>
    <row r="13" spans="2:25" ht="25" customHeight="1">
      <c r="B13" s="175"/>
      <c r="C13" s="348" t="str">
        <f>z_inputWidth</f>
        <v>Input Width</v>
      </c>
      <c r="D13" s="349" t="str">
        <f>IFERROR(z_EnterValue&amp;" ("&amp;INDEX(T_Units[],1,MATCH(i_units_Out,T_Units[#Headers],0))&amp;")","")</f>
        <v>Enter value (mm)</v>
      </c>
      <c r="E13" s="355"/>
      <c r="G13" s="348" t="str">
        <f>z_SelectTube</f>
        <v>Select Tube</v>
      </c>
      <c r="H13" s="349" t="str">
        <f>z_NoteSelect</f>
        <v>Select from dropdown list.</v>
      </c>
      <c r="I13" s="355"/>
      <c r="J13" s="231"/>
      <c r="K13" s="707" t="str">
        <f>z_TubeDeflection</f>
        <v>Tube Deflection</v>
      </c>
      <c r="L13" s="366" t="str">
        <f>IFERROR(ROUND(Tube_Deflection1_Units,IF(i_units_Out="Metric",1,2))&amp;" "&amp;INDEX(T_Units[],1,MATCH(i_units_Out,T_Units[#Headers],0))&amp;" ("&amp;ROUND(o_TubeDeflectionPct1,4)*100&amp;"%)","")</f>
        <v/>
      </c>
      <c r="M13" s="231"/>
      <c r="N13" s="231"/>
      <c r="O13" s="225"/>
      <c r="Q13"/>
      <c r="U13" s="274" t="e">
        <f>Control_D*Control_Ratio*PI()*_xlfn.SINGLE(Tube_Rotations)+o_CoveredChainLookup+o_ChainClearance</f>
        <v>#N/A</v>
      </c>
    </row>
    <row r="14" spans="2:25" ht="24.75" customHeight="1">
      <c r="C14" s="348" t="str">
        <f>z_InputDrop</f>
        <v>Input Drop</v>
      </c>
      <c r="D14" s="351" t="str">
        <f>IFERROR(z_EnterValue&amp;" ("&amp;INDEX(T_Units[],1,MATCH(i_units_Out,T_Units[#Headers],0))&amp;")","")</f>
        <v>Enter value (mm)</v>
      </c>
      <c r="E14" s="352"/>
      <c r="G14" s="348" t="str">
        <f>z_RecTube</f>
        <v>Suggested Tube</v>
      </c>
      <c r="H14" s="359"/>
      <c r="I14" s="358" t="str">
        <f>IF(OR(i_width="",i_Drop="",Fabric_Density="",Fabric_Thickness="",i_wb=""),z_FinishInputs,o_RecTubeOptimised)</f>
        <v>Complete inputs for recommendation.</v>
      </c>
      <c r="K14" s="708"/>
      <c r="L14" s="367" t="str">
        <f>IFERROR(ROUND(Tube_Deflection1_Units,2),"")</f>
        <v/>
      </c>
      <c r="P14" s="332"/>
      <c r="U14" s="274" t="e">
        <f>U13/2</f>
        <v>#N/A</v>
      </c>
    </row>
    <row r="15" spans="2:25" ht="10" customHeight="1">
      <c r="C15" s="497"/>
      <c r="D15" s="140"/>
      <c r="E15" s="416" t="s">
        <v>1082</v>
      </c>
      <c r="G15" s="496"/>
      <c r="K15" s="446"/>
      <c r="P15" s="333"/>
      <c r="T15" s="268" t="s">
        <v>1033</v>
      </c>
    </row>
    <row r="16" spans="2:25" ht="25" customHeight="1">
      <c r="C16" s="348" t="str">
        <f>z_SelectFabric</f>
        <v>Select Fabric</v>
      </c>
      <c r="D16" s="349" t="str">
        <f>"Type to filter list, DEL to reset"</f>
        <v>Type to filter list, DEL to reset</v>
      </c>
      <c r="E16" s="350"/>
      <c r="G16" s="348" t="str">
        <f>z_SelectControlType</f>
        <v>Select Control Type</v>
      </c>
      <c r="H16" s="349" t="str">
        <f>z_NoteSelect</f>
        <v>Select from dropdown list.</v>
      </c>
      <c r="I16" s="355"/>
      <c r="J16" s="231"/>
      <c r="K16" s="348" t="str">
        <f>z_UserEffortLift</f>
        <v>User Effort (Lifting)</v>
      </c>
      <c r="L16" s="368" t="str">
        <f>IFERROR(IF(i_ControlType="Clutch",MAX(_LiveData!X6:X93)*IF(i_units_Out="Metric",1,INDEX(T_Units[Factor],MATCH("kg",T_Units[Metric],0))),""),"")</f>
        <v/>
      </c>
      <c r="M16" s="231"/>
      <c r="N16" s="231"/>
      <c r="P16" s="333"/>
      <c r="T16" s="260" t="s">
        <v>1028</v>
      </c>
    </row>
    <row r="17" spans="3:20" ht="25" customHeight="1">
      <c r="C17" s="348" t="str">
        <f>z_FabricDensity</f>
        <v>Fabric Density</v>
      </c>
      <c r="D17" s="353"/>
      <c r="E17" s="410" t="str">
        <f ca="1">IFERROR(ROUND(INDEX(INDIRECT("T_Fabric[Density_"&amp;i_units_Out&amp;"]"),MATCH(i_Fabric,T_Fabric[Description],0)),IF(i_units_Out="Metric",0,2)),"")</f>
        <v/>
      </c>
      <c r="G17" s="348" t="str">
        <f>z_SelectControl</f>
        <v>Select Control</v>
      </c>
      <c r="H17" s="349" t="str">
        <f>IF(AND(i_Tube="",i_ControlType&lt;&gt;""),z_NoteSelectTube,z_NoteSelect)</f>
        <v>Select from dropdown list.</v>
      </c>
      <c r="I17" s="355"/>
      <c r="K17" s="348" t="str">
        <f>z_UserEffortLowering</f>
        <v>User Effort (Lowering)</v>
      </c>
      <c r="L17" s="368" t="str">
        <f>IFERROR(IF(i_ControlType="Clutch",MAX(_LiveData!Y5:Y94)*IF(i_units_Out="Metric",1,INDEX(T_Units[Factor],MATCH("kg",T_Units[Metric],0))),""),"")</f>
        <v/>
      </c>
      <c r="M17" s="231"/>
      <c r="N17" s="231"/>
    </row>
    <row r="18" spans="3:20" ht="25" customHeight="1">
      <c r="C18" s="348" t="str">
        <f>z_FabricThickness</f>
        <v>Fabric Thickness</v>
      </c>
      <c r="D18" s="353"/>
      <c r="E18" s="410" t="str">
        <f ca="1">IFERROR(ROUND(INDEX(INDIRECT("T_Fabric[Thickness_"&amp;i_units_Out&amp;"]"),MATCH(i_Fabric,T_Fabric[Description],0)),IF(i_units_Out="Metric",2,3)),"")</f>
        <v/>
      </c>
      <c r="G18" s="348" t="str">
        <f>z_TubeAdaptor</f>
        <v>Tube Adaptor</v>
      </c>
      <c r="H18" s="359"/>
      <c r="I18" s="358" t="str">
        <f>o_Adaptor</f>
        <v/>
      </c>
      <c r="J18" s="231"/>
      <c r="K18" s="348" t="str">
        <f>z_ChainLength</f>
        <v>Min. Chain Length for Ball stop</v>
      </c>
      <c r="L18" s="369" t="str">
        <f>IFERROR(IF(i_units_Out="Metric",ROUND(U13,0)&amp;" mm",TEXT(U13/25.4,"0"&amp;IF(ABS(U13/25.4-ROUND(U13/25.4,0))&gt;1/32,"-0/"&amp;CHOOSE(ROUND(MOD(U13/25.4,1)*16,0),16,8,16,4,16,8,16,2,16,8,16,4,16,8,16),))&amp;CHAR(34)),"")</f>
        <v/>
      </c>
      <c r="M18" s="231"/>
      <c r="N18" s="231"/>
      <c r="P18" s="370" t="s">
        <v>566</v>
      </c>
      <c r="Q18"/>
    </row>
    <row r="19" spans="3:20" ht="25" customHeight="1">
      <c r="C19" s="348" t="str">
        <f>z_CustomFabDensity</f>
        <v>Custom Fabric Density</v>
      </c>
      <c r="D19" s="349" t="str">
        <f>IFERROR(z_EnterValue&amp;" ("&amp;INDEX(T_Units[],4,MATCH(i_units_Out,T_Units[#Headers],0))&amp;")","")</f>
        <v>Enter value (g/m²)</v>
      </c>
      <c r="E19" s="354"/>
      <c r="G19" s="348" t="str">
        <f>z_MotorRPM</f>
        <v>Enter Custom Motor rpm</v>
      </c>
      <c r="H19" s="360" t="str">
        <f>IF(i_ControlType=z_Motor,Control_RPM_Default&amp;" rpm","")</f>
        <v/>
      </c>
      <c r="I19" s="361"/>
      <c r="K19" s="348" t="str">
        <f>z_ChainLoopLength</f>
        <v>Loop Length</v>
      </c>
      <c r="L19" s="369" t="str">
        <f>IFERROR(IF(i_units_Out="Metric",ROUND(U14,0)&amp;" mm",TEXT(U14/25.4,"0"&amp;IF(ABS(U14/25.4-ROUND(U14/25.4,0))&gt;1/32,"-0/"&amp;CHOOSE(ROUND(MOD(U14/25.4,1)*16,0),16,8,16,4,16,8,16,2,16,8,16,4,16,8,16),))&amp;CHAR(34)),"")</f>
        <v/>
      </c>
      <c r="P19" s="334" t="s">
        <v>570</v>
      </c>
    </row>
    <row r="20" spans="3:20" ht="25" customHeight="1">
      <c r="C20" s="348" t="str">
        <f>z_CustomFabThickness</f>
        <v>Custom Fabric Thickness</v>
      </c>
      <c r="D20" s="349" t="str">
        <f>IFERROR(z_EnterValue&amp;" ("&amp;INDEX(T_Units[],1,MATCH(i_units_Out,T_Units[#Headers],0))&amp;")","")</f>
        <v>Enter value (mm)</v>
      </c>
      <c r="E20" s="354"/>
      <c r="G20" s="348" t="str">
        <f>z_selectBooster</f>
        <v>Select Booster</v>
      </c>
      <c r="H20" s="449" t="str">
        <f>IF(o_BoosterListCount&gt;=2,"Select a Booster.","No Booster options.")</f>
        <v>No Booster options.</v>
      </c>
      <c r="I20" s="448"/>
      <c r="J20" s="231"/>
      <c r="K20" s="444" t="str">
        <f>z_fabricwbtubemass</f>
        <v>Fabric + Weight Bar + Tube Mass</v>
      </c>
      <c r="L20" s="364" t="str">
        <f>IFERROR(o_fabric_wb_T_Mass_TOTAL*IF(i_units_Out="Metric",1,INDEX(T_Units[Factor],MATCH("kg",T_Units[Metric],0))),"")</f>
        <v/>
      </c>
      <c r="M20" s="231"/>
      <c r="N20" s="231"/>
      <c r="P20" s="334" t="s">
        <v>569</v>
      </c>
    </row>
    <row r="21" spans="3:20" ht="25" customHeight="1">
      <c r="G21" s="362" t="str">
        <f>z_BoosterPreturns</f>
        <v>Booster Pre-turns</v>
      </c>
      <c r="H21" s="449" t="str">
        <f>IFERROR(IF(ISTEXT(o_PreturnsEst),o_PreturnsEst,"Estimated "&amp;ROUND(o_PreturnsEst,0)&amp;" turns (Enter this value)"),"")</f>
        <v/>
      </c>
      <c r="I21" s="518"/>
      <c r="K21" s="348" t="str">
        <f>z_ShadeTorque</f>
        <v>Shade Torque</v>
      </c>
      <c r="L21" s="650" t="str">
        <f>IFERROR(o_tMax_Sum,"")</f>
        <v/>
      </c>
      <c r="T21"/>
    </row>
    <row r="22" spans="3:20" ht="25" customHeight="1">
      <c r="C22" s="348" t="s">
        <v>701</v>
      </c>
      <c r="D22" s="424"/>
      <c r="E22" s="425" t="str">
        <f>IFERROR(IF(i_Fabric&lt;&gt;"",INDEX(T_Fabric[RRYesNo],MATCH(i_Fabric,T_Fabric[Description],0)),"-"),"")</f>
        <v>-</v>
      </c>
      <c r="G22" s="362" t="str">
        <f>z_MaxBoosterPreturns</f>
        <v>Max Booster Pre-turns</v>
      </c>
      <c r="H22" s="349"/>
      <c r="I22" s="531" t="str">
        <f>IFERROR(IF(OR(i_Booster=z_None,i_Booster=z_NoOptions,i_Booster="",i_Booster=z_SelectaControl),"",ROUNDUP(Booster_MaxTurns-_xlfn.SINGLE(Tube_Rotations),0)&amp;" "&amp;z_Turns),"")</f>
        <v/>
      </c>
      <c r="J22" s="231"/>
      <c r="K22" s="348" t="str">
        <f>z_MotorDropS</f>
        <v>Motor Run Time for Drop</v>
      </c>
      <c r="L22" s="365" t="str">
        <f>IFERROR(IF(i_ControlType=z_Motor,ROUND(_xlfn.SINGLE(Tube_Rotations)/(Control_RPM/60),0)&amp;" "&amp;z_Seconds,""),"")</f>
        <v/>
      </c>
      <c r="M22" s="231"/>
      <c r="N22" s="231"/>
      <c r="P22" s="394" t="s">
        <v>596</v>
      </c>
    </row>
    <row r="23" spans="3:20" ht="25" customHeight="1">
      <c r="C23" s="348" t="str">
        <f>z_FabricWidth</f>
        <v>Fabric roll width</v>
      </c>
      <c r="D23" s="420"/>
      <c r="E23" s="426" t="str" cm="1">
        <f t="array" aca="1" ref="E23" ca="1">IFERROR(IF(i_Fabric&lt;&gt;"",INDEX(INDIRECT("T_Fabric[RollWidth_"&amp;i_units_Out&amp;"]"),MATCH(i_Fabric,T_Fabric[Description],0)),"-"),z_NoData)</f>
        <v>-</v>
      </c>
      <c r="G23" s="348" t="str">
        <f>z_ESA_BoosterType</f>
        <v>Booster Type</v>
      </c>
      <c r="H23" s="349" t="str" cm="1">
        <f t="array" aca="1" ref="H23" ca="1">IF(AND(i_ControlType="Easy Spring Air",NOT(ISERROR(L_CompatibleESABooster))),z_NoteSelect,"")</f>
        <v/>
      </c>
      <c r="I23" s="644"/>
      <c r="J23" s="231"/>
      <c r="K23" s="348" t="s">
        <v>862</v>
      </c>
      <c r="L23" s="365" t="s">
        <v>862</v>
      </c>
      <c r="M23" s="231"/>
      <c r="N23" s="231"/>
      <c r="P23" s="394"/>
    </row>
    <row r="24" spans="3:20" ht="25" customHeight="1">
      <c r="G24" s="348" t="str">
        <f>z_ESA_Position</f>
        <v>Booster Position</v>
      </c>
      <c r="H24" s="554"/>
      <c r="I24" s="585" t="str">
        <f ca="1">o_BoosterPosition2</f>
        <v/>
      </c>
      <c r="J24" s="231"/>
      <c r="K24" s="348" t="s">
        <v>862</v>
      </c>
      <c r="L24" s="365" t="s">
        <v>862</v>
      </c>
      <c r="M24" s="231"/>
      <c r="N24" s="231"/>
      <c r="P24" s="394"/>
    </row>
    <row r="25" spans="3:20" ht="25" customHeight="1">
      <c r="C25" s="715" t="str">
        <f>IF(Design_Width1&lt;=1.2,z_minSystemWidth,"")</f>
        <v>Refer to Product Specifications for minimum system widths</v>
      </c>
      <c r="D25" s="716"/>
      <c r="E25" s="717"/>
      <c r="G25" s="348" t="str">
        <f>z_ESA_preTurn</f>
        <v>Booster Pre-turns</v>
      </c>
      <c r="H25" s="554"/>
      <c r="I25" s="585" t="str">
        <f ca="1">IFERROR(ROUND(o_BoosterPreTurn2,0),"")</f>
        <v/>
      </c>
      <c r="J25" s="231"/>
      <c r="K25" s="348" t="s">
        <v>862</v>
      </c>
      <c r="L25" s="365" t="s">
        <v>862</v>
      </c>
      <c r="M25" s="231"/>
      <c r="N25" s="231"/>
      <c r="P25" s="394"/>
    </row>
    <row r="26" spans="3:20" ht="25" customHeight="1">
      <c r="C26" s="718"/>
      <c r="D26" s="719"/>
      <c r="E26" s="720"/>
      <c r="G26" s="348" t="str">
        <f>z_SelectBracket</f>
        <v>Select Top Hardware System</v>
      </c>
      <c r="H26" s="349" t="str">
        <f>z_NoteSelect</f>
        <v>Select from dropdown list.</v>
      </c>
      <c r="I26" s="355"/>
      <c r="K26" s="348" t="str">
        <f>z_BktRollDiameter</f>
        <v>Bracket Max Roll Diameter</v>
      </c>
      <c r="L26" s="364" t="str">
        <f>IFERROR(o_MaxRollDia_Units,"")</f>
        <v/>
      </c>
      <c r="M26" s="231"/>
      <c r="N26" s="231"/>
    </row>
    <row r="27" spans="3:20" ht="10" customHeight="1">
      <c r="J27" s="231"/>
      <c r="M27" s="231"/>
      <c r="N27" s="231"/>
    </row>
    <row r="28" spans="3:20" ht="25" customHeight="1">
      <c r="C28" s="693" t="s">
        <v>784</v>
      </c>
      <c r="D28" s="694"/>
      <c r="E28" s="694"/>
      <c r="F28" s="694"/>
      <c r="G28" s="694"/>
      <c r="H28" s="694"/>
      <c r="I28" s="694"/>
      <c r="J28" s="694"/>
      <c r="K28" s="694"/>
      <c r="L28" s="694"/>
      <c r="M28" s="231"/>
      <c r="N28" s="231"/>
      <c r="P28" s="332" t="s">
        <v>783</v>
      </c>
    </row>
    <row r="29" spans="3:20" ht="25" customHeight="1">
      <c r="C29" s="348" t="s">
        <v>771</v>
      </c>
      <c r="D29" s="498" t="str">
        <f>IFERROR(z_EnterValue&amp;" ("&amp;INDEX(T_Units[],1,MATCH(i_units_Out,T_Units[#Headers],0))&amp;")","")</f>
        <v>Enter value (mm)</v>
      </c>
      <c r="E29" s="355"/>
      <c r="G29" s="348" t="s">
        <v>772</v>
      </c>
      <c r="H29" s="498" t="str">
        <f>IF(i_wb="","Select Weight Bar.",IF(i_Tube="","Select Tube.",z_NoteSelect))</f>
        <v>Select Weight Bar.</v>
      </c>
      <c r="I29" s="355"/>
      <c r="J29" s="231"/>
      <c r="K29" s="356" t="s">
        <v>773</v>
      </c>
      <c r="L29" s="653" t="str">
        <f>IFERROR(ROUND(Tube_Deflection2_Units,2),"")</f>
        <v/>
      </c>
      <c r="M29" s="231"/>
      <c r="N29" s="231"/>
    </row>
    <row r="30" spans="3:20" ht="25" customHeight="1">
      <c r="C30" s="348" t="s">
        <v>1114</v>
      </c>
      <c r="D30" s="499" t="str">
        <f>IFERROR(z_EnterValue&amp;" ("&amp;INDEX(T_Units[],1,MATCH(i_units_Out,T_Units[#Headers],0))&amp;")","")</f>
        <v>Enter value (mm)</v>
      </c>
      <c r="E30" s="352"/>
      <c r="J30" s="231"/>
      <c r="K30" s="356" t="s">
        <v>774</v>
      </c>
      <c r="L30" s="653" t="str">
        <f>IFERROR(ROUND(Tube_Deflection3_Units,2),"")</f>
        <v/>
      </c>
      <c r="M30" s="231"/>
      <c r="N30" s="231"/>
    </row>
    <row r="31" spans="3:20" ht="25" customHeight="1">
      <c r="C31" s="348" t="s">
        <v>1117</v>
      </c>
      <c r="D31" s="499" t="str">
        <f>IFERROR(z_EnterValue&amp;" ("&amp;INDEX(T_Units[],1,MATCH(i_units_Out,T_Units[#Headers],0))&amp;")","")</f>
        <v>Enter value (mm)</v>
      </c>
      <c r="E31" s="352"/>
      <c r="G31" s="348" t="s">
        <v>765</v>
      </c>
      <c r="I31" s="407" t="e">
        <f>o_LinkTorqueReqd</f>
        <v>#N/A</v>
      </c>
      <c r="J31" s="231"/>
      <c r="K31" s="356" t="s">
        <v>1119</v>
      </c>
      <c r="L31" s="653" t="str">
        <f>IFERROR(ROUND(Tube_Deflection4_Units,2),"")</f>
        <v/>
      </c>
      <c r="M31" s="231"/>
      <c r="N31" s="231"/>
    </row>
    <row r="32" spans="3:20" ht="25" customHeight="1">
      <c r="C32" s="348" t="s">
        <v>1116</v>
      </c>
      <c r="D32" s="499" t="str">
        <f>IFERROR(z_EnterValue&amp;" ("&amp;INDEX(T_Units[],1,MATCH(i_units_Out,T_Units[#Headers],0))&amp;")","")</f>
        <v>Enter value (mm)</v>
      </c>
      <c r="E32" s="352"/>
      <c r="G32" s="348" t="s">
        <v>788</v>
      </c>
      <c r="I32" s="407" t="str">
        <f>IFERROR(INDEX(T_Links[Torque],MATCH(i_LinkSystem,T_Links[Description],0)),"")</f>
        <v/>
      </c>
      <c r="J32" s="231"/>
      <c r="K32" s="348" t="s">
        <v>1120</v>
      </c>
      <c r="L32" s="652" t="str">
        <f>IFERROR(ROUND(Tube_Deflection5_Units,2),"")</f>
        <v/>
      </c>
      <c r="M32" s="231"/>
      <c r="N32" s="231"/>
    </row>
    <row r="33" spans="3:17" ht="10" customHeight="1">
      <c r="J33" s="231"/>
      <c r="M33" s="231"/>
      <c r="N33" s="231"/>
    </row>
    <row r="34" spans="3:17" ht="25" hidden="1" customHeight="1">
      <c r="J34" s="231"/>
      <c r="K34" s="392"/>
      <c r="L34" s="654"/>
      <c r="M34" s="231"/>
      <c r="N34" s="231"/>
    </row>
    <row r="35" spans="3:17" ht="25" hidden="1" customHeight="1">
      <c r="J35" s="231"/>
      <c r="K35" s="392"/>
      <c r="L35" s="655"/>
      <c r="M35" s="231"/>
      <c r="N35" s="231"/>
    </row>
    <row r="36" spans="3:17" ht="10" customHeight="1" thickBot="1">
      <c r="J36" s="231"/>
      <c r="M36" s="231"/>
      <c r="N36" s="231"/>
    </row>
    <row r="37" spans="3:17" ht="10" customHeight="1" thickTop="1">
      <c r="C37" s="450"/>
      <c r="D37" s="450"/>
      <c r="E37" s="451"/>
      <c r="F37" s="451"/>
      <c r="G37" s="452"/>
      <c r="H37" s="452"/>
      <c r="I37" s="451"/>
      <c r="J37" s="453"/>
      <c r="K37" s="453"/>
      <c r="L37" s="453"/>
    </row>
    <row r="38" spans="3:17" s="175" customFormat="1" ht="20.149999999999999" customHeight="1">
      <c r="C38" s="440"/>
      <c r="D38" s="440"/>
      <c r="E38" s="439"/>
      <c r="F38" s="439"/>
      <c r="G38" s="440"/>
      <c r="H38" s="440"/>
      <c r="I38" s="439"/>
      <c r="J38" s="225"/>
      <c r="K38" s="431" t="s">
        <v>698</v>
      </c>
      <c r="L38" s="432"/>
      <c r="M38" s="225"/>
      <c r="N38" s="225"/>
      <c r="O38" s="113"/>
      <c r="P38" s="433" t="s">
        <v>656</v>
      </c>
    </row>
    <row r="39" spans="3:17" ht="30" customHeight="1">
      <c r="C39" s="444" t="s">
        <v>825</v>
      </c>
      <c r="D39" s="536" t="s">
        <v>826</v>
      </c>
      <c r="E39" s="535"/>
      <c r="F39" s="533"/>
      <c r="G39" s="533"/>
      <c r="H39" s="533"/>
      <c r="I39" s="534"/>
      <c r="J39" s="231"/>
      <c r="K39" s="701" t="str">
        <f>_xlfn.TEXTJOIN(";",FALSE,i_Units,i_TubeDeflectionLimit,i_pwa,i_width,i_Drop,i_Fabric,i_Fdensity_Custom,i_FThickness_Custom,i_wb,i_Ballast,i_wbballast_Custom,i_Tube,i_ControlType,i_Control,i_Booster,i_bracket)</f>
        <v>Metric;0.105;1;;;;;;;;;;;;;</v>
      </c>
      <c r="L39" s="701"/>
      <c r="M39" s="231"/>
      <c r="N39" s="231"/>
      <c r="P39" s="332"/>
      <c r="Q39" s="419" t="s">
        <v>699</v>
      </c>
    </row>
    <row r="40" spans="3:17" ht="25" customHeight="1">
      <c r="J40" s="231"/>
      <c r="K40" s="702"/>
      <c r="L40" s="702"/>
      <c r="M40" s="231"/>
      <c r="N40" s="231"/>
    </row>
    <row r="41" spans="3:17">
      <c r="C41" s="458" t="s">
        <v>747</v>
      </c>
      <c r="D41" s="417"/>
      <c r="E41" s="459"/>
      <c r="P41" s="332"/>
    </row>
    <row r="42" spans="3:17">
      <c r="C42" s="460"/>
      <c r="E42" s="461"/>
    </row>
    <row r="43" spans="3:17">
      <c r="C43" s="462"/>
      <c r="D43" s="418"/>
      <c r="E43" s="463"/>
    </row>
    <row r="44" spans="3:17"/>
    <row r="45" spans="3:17">
      <c r="C45" s="709" t="s">
        <v>848</v>
      </c>
      <c r="D45" s="710"/>
      <c r="E45" s="710"/>
      <c r="F45" s="710"/>
      <c r="G45" s="710"/>
      <c r="H45" s="710"/>
      <c r="I45" s="710"/>
      <c r="J45" s="710"/>
      <c r="K45" s="710"/>
      <c r="L45" s="711"/>
    </row>
    <row r="46" spans="3:17" ht="67.5" customHeight="1">
      <c r="C46" s="695" t="s">
        <v>1012</v>
      </c>
      <c r="D46" s="696"/>
      <c r="E46" s="696"/>
      <c r="F46" s="696"/>
      <c r="G46" s="696"/>
      <c r="H46" s="696"/>
      <c r="I46" s="696"/>
      <c r="J46" s="696"/>
      <c r="K46" s="696"/>
      <c r="L46" s="697"/>
    </row>
    <row r="47" spans="3:17" hidden="1">
      <c r="E47" s="83"/>
      <c r="F47" s="83"/>
    </row>
    <row r="48" spans="3:17" ht="15.5" hidden="1">
      <c r="C48" t="s">
        <v>693</v>
      </c>
      <c r="E48" s="352">
        <v>1.45</v>
      </c>
      <c r="F48" s="83"/>
    </row>
    <row r="49" spans="3:9" hidden="1">
      <c r="C49" t="s">
        <v>692</v>
      </c>
      <c r="E49" s="412" t="str">
        <f>IFERROR(((Tube_Rotations+IF(i_pwa="Yes",1,0))*ZipThickness*2+Tube_OD)*IF(i_units_Out="Metric",1,INDEX(T_Units[Factor],MATCH("mm",T_Units[Metric],0))),"")</f>
        <v/>
      </c>
      <c r="F49" s="83"/>
    </row>
    <row r="50" spans="3:9" hidden="1">
      <c r="C50" t="s">
        <v>695</v>
      </c>
      <c r="E50" s="313" t="str">
        <f>IFERROR(ROUND(Tube_Deflection1_Units,2),"")</f>
        <v/>
      </c>
      <c r="F50" s="83"/>
    </row>
    <row r="51" spans="3:9" hidden="1">
      <c r="E51" s="83"/>
      <c r="F51" s="83"/>
    </row>
    <row r="52" spans="3:9" hidden="1">
      <c r="F52" s="83"/>
    </row>
    <row r="53" spans="3:9" hidden="1">
      <c r="F53" s="268"/>
      <c r="G53" s="268"/>
      <c r="H53" s="268"/>
      <c r="I53" s="268"/>
    </row>
    <row r="54" spans="3:9" hidden="1">
      <c r="E54" s="83"/>
    </row>
    <row r="55" spans="3:9" hidden="1">
      <c r="F55" s="428"/>
      <c r="G55" s="428"/>
      <c r="H55" s="428"/>
      <c r="I55" s="428"/>
    </row>
    <row r="56" spans="3:9"/>
    <row r="57" spans="3:9"/>
  </sheetData>
  <sheetProtection algorithmName="SHA-512" hashValue="8pLEq1B4DweASYllrtxKO+ULYi/cRbOXkO3sWGhfb84L9AkESagNvxXKkixySJMvBi9653zBqUzZs0qPC1/96Q==" saltValue="LPRat9UgxKhA+hL3pJ8yhw==" spinCount="100000" sheet="1" objects="1" scenarios="1" selectLockedCells="1"/>
  <scenarios current="0" show="0" sqref="Q10 Q21 J23 J27 J28">
    <scenario name="wb_Mass" count="1" user="Aidan Schofield" comment="Created by Aidan Schofield on 20/10/2017_x000a_Modified by Aidan Schofield on 20/10/2017">
      <inputCells r="I8" val="D30 Medium"/>
    </scenario>
    <scenario name="wb_Mass_2" count="1" user="Aidan Schofield" comment="Created by Aidan Schofield on 20/10/2017_x000a_Modified by Aidan Schofield on 20/10/2017">
      <inputCells r="I8" val="_Temp Concept"/>
    </scenario>
  </scenarios>
  <mergeCells count="11">
    <mergeCell ref="C28:L28"/>
    <mergeCell ref="C46:L46"/>
    <mergeCell ref="G4:I4"/>
    <mergeCell ref="K39:L40"/>
    <mergeCell ref="C7:I7"/>
    <mergeCell ref="K7:L7"/>
    <mergeCell ref="K13:K14"/>
    <mergeCell ref="C45:L45"/>
    <mergeCell ref="G5:I5"/>
    <mergeCell ref="C25:E26"/>
    <mergeCell ref="C4:E5"/>
  </mergeCells>
  <conditionalFormatting sqref="I21">
    <cfRule type="expression" dxfId="225" priority="2938" stopIfTrue="1">
      <formula>AND($I$21&lt;&gt;"",$I$21&gt;=ROUNDUP(Booster_MaxTurns,0))</formula>
    </cfRule>
  </conditionalFormatting>
  <conditionalFormatting sqref="K22:L25">
    <cfRule type="expression" dxfId="224" priority="29">
      <formula>IF(K22="BLANK. FREE TO USE", TRUE(), FALSE())</formula>
    </cfRule>
    <cfRule type="expression" dxfId="223" priority="205">
      <formula>IF(i_ControlType&lt;&gt;z_Motor,TRUE(),FALSE())</formula>
    </cfRule>
  </conditionalFormatting>
  <conditionalFormatting sqref="G19:I19">
    <cfRule type="expression" dxfId="222" priority="192">
      <formula>IF(AND(i_Control&lt;&gt;"",i_ControlType="Motor"),FALSE(),TRUE())</formula>
    </cfRule>
  </conditionalFormatting>
  <conditionalFormatting sqref="K16:L19 I20:I22 G20:H20 G21:G22">
    <cfRule type="expression" dxfId="221" priority="40" stopIfTrue="1">
      <formula>IF(i_ControlType=z_Clutch,FALSE(),TRUE())</formula>
    </cfRule>
  </conditionalFormatting>
  <conditionalFormatting sqref="L8">
    <cfRule type="expression" dxfId="220" priority="2989" stopIfTrue="1">
      <formula>IF($L$8&lt;&gt;"-",$L$8&gt;Control_Capacity_units,"")</formula>
    </cfRule>
    <cfRule type="dataBar" priority="2990">
      <dataBar>
        <cfvo type="min"/>
        <cfvo type="num" val="Control_Capacity_units"/>
        <color rgb="FF00B050"/>
      </dataBar>
      <extLst>
        <ext xmlns:x14="http://schemas.microsoft.com/office/spreadsheetml/2009/9/main" uri="{B025F937-C7B1-47D3-B67F-A62EFF666E3E}">
          <x14:id>{50712924-36D8-4272-BF4B-037D7F62879A}</x14:id>
        </ext>
      </extLst>
    </cfRule>
  </conditionalFormatting>
  <conditionalFormatting sqref="L17">
    <cfRule type="expression" dxfId="219" priority="2991" stopIfTrue="1">
      <formula>$L$17&gt;UserEffort_Max</formula>
    </cfRule>
    <cfRule type="dataBar" priority="2992">
      <dataBar showValue="0">
        <cfvo type="num" val="0"/>
        <cfvo type="formula" val="UserEffort_Max"/>
        <color rgb="FF00B050"/>
      </dataBar>
      <extLst>
        <ext xmlns:x14="http://schemas.microsoft.com/office/spreadsheetml/2009/9/main" uri="{B025F937-C7B1-47D3-B67F-A62EFF666E3E}">
          <x14:id>{B1318B68-AB73-4868-B01E-1E42AD83BCE3}</x14:id>
        </ext>
      </extLst>
    </cfRule>
  </conditionalFormatting>
  <conditionalFormatting sqref="L16">
    <cfRule type="expression" dxfId="218" priority="2993" stopIfTrue="1">
      <formula>$L$16&gt;UserEffort_Max</formula>
    </cfRule>
    <cfRule type="dataBar" priority="2994">
      <dataBar>
        <cfvo type="num" val="0"/>
        <cfvo type="formula" val="UserEffort_Max"/>
        <color rgb="FF00B050"/>
      </dataBar>
      <extLst>
        <ext xmlns:x14="http://schemas.microsoft.com/office/spreadsheetml/2009/9/main" uri="{B025F937-C7B1-47D3-B67F-A62EFF666E3E}">
          <x14:id>{A2A8095E-A8D6-476D-90B5-2AF744D4BA20}</x14:id>
        </ext>
      </extLst>
    </cfRule>
  </conditionalFormatting>
  <conditionalFormatting sqref="L8:L9 L20">
    <cfRule type="expression" dxfId="217" priority="178">
      <formula>i_units_Out="Imperial"</formula>
    </cfRule>
  </conditionalFormatting>
  <conditionalFormatting sqref="L8:L9 L20">
    <cfRule type="expression" dxfId="216" priority="177">
      <formula>i_units_Out="Metric"</formula>
    </cfRule>
  </conditionalFormatting>
  <conditionalFormatting sqref="L11">
    <cfRule type="expression" dxfId="215" priority="181" stopIfTrue="1">
      <formula>IF(AND($L$11&lt;&gt;"",$L$11&gt;o_MaxRollDia_Units),TRUE(),FALSE())</formula>
    </cfRule>
    <cfRule type="dataBar" priority="182">
      <dataBar>
        <cfvo type="num" val="0"/>
        <cfvo type="formula" val="o_MaxRollDia_Units"/>
        <color rgb="FF00B050"/>
      </dataBar>
      <extLst>
        <ext xmlns:x14="http://schemas.microsoft.com/office/spreadsheetml/2009/9/main" uri="{B025F937-C7B1-47D3-B67F-A62EFF666E3E}">
          <x14:id>{48D81FC5-30BB-40D3-B267-D4E641966CDC}</x14:id>
        </ext>
      </extLst>
    </cfRule>
  </conditionalFormatting>
  <conditionalFormatting sqref="H10:I10 I9">
    <cfRule type="expression" dxfId="214" priority="99" stopIfTrue="1">
      <formula>$I$8=z_CustomWBData</formula>
    </cfRule>
  </conditionalFormatting>
  <conditionalFormatting sqref="K16:L19">
    <cfRule type="expression" dxfId="213" priority="150">
      <formula>IF(AND(i_Control=z_NoSuitableOptions,i_ControlType="Clutch"),FALSE(),TRUE())</formula>
    </cfRule>
  </conditionalFormatting>
  <conditionalFormatting sqref="I11">
    <cfRule type="cellIs" priority="157" operator="equal">
      <formula>0</formula>
    </cfRule>
  </conditionalFormatting>
  <conditionalFormatting sqref="L11">
    <cfRule type="expression" dxfId="212" priority="138">
      <formula>i_units_Out="Metric"</formula>
    </cfRule>
    <cfRule type="expression" dxfId="211" priority="139">
      <formula>i_units_Out="Imperial"</formula>
    </cfRule>
  </conditionalFormatting>
  <conditionalFormatting sqref="E13">
    <cfRule type="expression" dxfId="210" priority="174">
      <formula>i_units_Out="Imperial"</formula>
    </cfRule>
  </conditionalFormatting>
  <conditionalFormatting sqref="E14">
    <cfRule type="expression" dxfId="209" priority="136">
      <formula>i_units_Out="Metric"</formula>
    </cfRule>
    <cfRule type="expression" dxfId="208" priority="137">
      <formula>i_units_Out="Imperial"</formula>
    </cfRule>
  </conditionalFormatting>
  <conditionalFormatting sqref="D17:E18">
    <cfRule type="expression" dxfId="207" priority="88">
      <formula>OR($E$19&lt;&gt;"",$E$20&lt;&gt;"")</formula>
    </cfRule>
    <cfRule type="expression" dxfId="206" priority="123">
      <formula>OR(i_Fabric=z_CustomFData,i_Fabric="",o_FabricMatch="No")</formula>
    </cfRule>
  </conditionalFormatting>
  <conditionalFormatting sqref="E17">
    <cfRule type="expression" dxfId="205" priority="126">
      <formula>i_units_Out="Metric"</formula>
    </cfRule>
    <cfRule type="expression" dxfId="204" priority="127">
      <formula>i_units_Out="Imperial"</formula>
    </cfRule>
  </conditionalFormatting>
  <conditionalFormatting sqref="E18">
    <cfRule type="expression" dxfId="203" priority="124">
      <formula>i_units_Out="Metric"</formula>
    </cfRule>
    <cfRule type="expression" dxfId="202" priority="125">
      <formula>i_units_Out="Imperial"</formula>
    </cfRule>
  </conditionalFormatting>
  <conditionalFormatting sqref="L14">
    <cfRule type="expression" dxfId="201" priority="106" stopIfTrue="1">
      <formula>Tube_Deflection1&gt;Design_Width1*Deflection_limit</formula>
    </cfRule>
    <cfRule type="dataBar" priority="107">
      <formula>IF(Tube_Deflection1&lt;Design_Width1*Deflection_limit, TRUE, FALSE)</formula>
      <dataBar>
        <cfvo type="num" val="0"/>
        <cfvo type="formula" val="o_TubeDeflectionLimit1_Units"/>
        <color rgb="FF00B050"/>
      </dataBar>
      <extLst>
        <ext xmlns:x14="http://schemas.microsoft.com/office/spreadsheetml/2009/9/main" uri="{B025F937-C7B1-47D3-B67F-A62EFF666E3E}">
          <x14:id>{A58AB6DD-C10A-4B30-A786-C5CA80ED02DA}</x14:id>
        </ext>
      </extLst>
    </cfRule>
  </conditionalFormatting>
  <conditionalFormatting sqref="L13">
    <cfRule type="expression" dxfId="200" priority="104">
      <formula>i_units_Out="Metric"</formula>
    </cfRule>
    <cfRule type="expression" dxfId="199" priority="105">
      <formula>i_units_Out="Imperial"</formula>
    </cfRule>
  </conditionalFormatting>
  <conditionalFormatting sqref="D19:D20">
    <cfRule type="expression" dxfId="198" priority="101">
      <formula>IF(i_Fabric&lt;&gt;z_CustomEntry,TRUE(),FALSE())</formula>
    </cfRule>
  </conditionalFormatting>
  <conditionalFormatting sqref="H11">
    <cfRule type="expression" dxfId="197" priority="100">
      <formula>IF(i_Fabric&lt;&gt;z_CustomEntry,TRUE(),FALSE())</formula>
    </cfRule>
  </conditionalFormatting>
  <conditionalFormatting sqref="E19">
    <cfRule type="expression" dxfId="196" priority="111">
      <formula>i_units_Out="Metric"</formula>
    </cfRule>
    <cfRule type="expression" dxfId="195" priority="112">
      <formula>i_units_Out="Imperial"</formula>
    </cfRule>
  </conditionalFormatting>
  <conditionalFormatting sqref="E20">
    <cfRule type="expression" dxfId="194" priority="109">
      <formula>i_units_Out="Metric"</formula>
    </cfRule>
    <cfRule type="expression" dxfId="193" priority="110">
      <formula>i_units_Out="Imperial"</formula>
    </cfRule>
  </conditionalFormatting>
  <conditionalFormatting sqref="I10:I11">
    <cfRule type="expression" dxfId="192" priority="154">
      <formula>i_units_Out="Metric"</formula>
    </cfRule>
    <cfRule type="expression" dxfId="191" priority="155">
      <formula>i_units_Out="Imperial"</formula>
    </cfRule>
  </conditionalFormatting>
  <conditionalFormatting sqref="L26">
    <cfRule type="expression" dxfId="190" priority="92">
      <formula>i_units_Out="Metric"</formula>
    </cfRule>
    <cfRule type="expression" dxfId="189" priority="93">
      <formula>i_units_Out="Imperial"</formula>
    </cfRule>
  </conditionalFormatting>
  <conditionalFormatting sqref="E13 E49">
    <cfRule type="expression" dxfId="188" priority="173">
      <formula>AND($E13&lt;&gt;"",i_units_Out="Metric")</formula>
    </cfRule>
  </conditionalFormatting>
  <conditionalFormatting sqref="E50">
    <cfRule type="expression" dxfId="187" priority="86">
      <formula>Tube_Deflection1&gt;Design_Width1*Deflection_Limit_ZS</formula>
    </cfRule>
    <cfRule type="dataBar" priority="87">
      <formula>IF(Tube_Deflection1&lt;Design_Width1*Deflection_limit, TRUE, FALSE)</formula>
      <dataBar>
        <cfvo type="num" val="0"/>
        <cfvo type="formula" val="25"/>
        <color rgb="FF00B050"/>
      </dataBar>
      <extLst>
        <ext xmlns:x14="http://schemas.microsoft.com/office/spreadsheetml/2009/9/main" uri="{B025F937-C7B1-47D3-B67F-A62EFF666E3E}">
          <x14:id>{C14EDEB9-6208-4D68-800C-D5B75B366845}</x14:id>
        </ext>
      </extLst>
    </cfRule>
  </conditionalFormatting>
  <conditionalFormatting sqref="E50">
    <cfRule type="expression" dxfId="186" priority="84">
      <formula>i_Units="Metric"</formula>
    </cfRule>
  </conditionalFormatting>
  <conditionalFormatting sqref="E48">
    <cfRule type="expression" dxfId="185" priority="82">
      <formula>AND($E48&lt;&gt;"",i_units_Out="Metric")</formula>
    </cfRule>
  </conditionalFormatting>
  <conditionalFormatting sqref="E23">
    <cfRule type="expression" dxfId="184" priority="3001">
      <formula>AND($E23&lt;&gt;"",i_Units="Metric")</formula>
    </cfRule>
    <cfRule type="expression" dxfId="183" priority="3002">
      <formula>i_units_Out="Imperial"</formula>
    </cfRule>
  </conditionalFormatting>
  <conditionalFormatting sqref="C19:E20">
    <cfRule type="expression" dxfId="182" priority="78">
      <formula>IF(AND(i_Fabric&lt;&gt;z_CustomFData,FabricReturn&gt;0),TRUE(),FALSE())</formula>
    </cfRule>
  </conditionalFormatting>
  <conditionalFormatting sqref="H11:I11">
    <cfRule type="expression" dxfId="181" priority="73">
      <formula>IF(OR(i_wb="",i_wb=z_CustomWBData),FALSE(),TRUE())</formula>
    </cfRule>
  </conditionalFormatting>
  <conditionalFormatting sqref="E30">
    <cfRule type="expression" dxfId="180" priority="60">
      <formula>i_units_Out="Metric"</formula>
    </cfRule>
    <cfRule type="expression" dxfId="179" priority="61">
      <formula>i_units_Out="Imperial"</formula>
    </cfRule>
  </conditionalFormatting>
  <conditionalFormatting sqref="E29">
    <cfRule type="expression" dxfId="178" priority="63">
      <formula>i_units_Out="Imperial"</formula>
    </cfRule>
  </conditionalFormatting>
  <conditionalFormatting sqref="L34">
    <cfRule type="expression" dxfId="177" priority="44">
      <formula>i_units_Out="Metric"</formula>
    </cfRule>
    <cfRule type="expression" dxfId="176" priority="45">
      <formula>i_units_Out="Imperial"</formula>
    </cfRule>
  </conditionalFormatting>
  <conditionalFormatting sqref="E29:E30">
    <cfRule type="expression" dxfId="175" priority="62">
      <formula>AND($E29&lt;&gt;"",i_units_Out="Metric")</formula>
    </cfRule>
  </conditionalFormatting>
  <conditionalFormatting sqref="L35">
    <cfRule type="expression" dxfId="174" priority="48" stopIfTrue="1">
      <formula>Tube_Deflection3&gt;Design_Width3*Deflection_limit</formula>
    </cfRule>
    <cfRule type="dataBar" priority="49">
      <formula>IF(Tube_Deflection1&lt;Design_Width1*Deflection_limit, TRUE, FALSE)</formula>
      <dataBar>
        <cfvo type="num" val="0"/>
        <cfvo type="formula" val="o_TubeDeflectionLimit3_Units"/>
        <color rgb="FF00B050"/>
      </dataBar>
      <extLst>
        <ext xmlns:x14="http://schemas.microsoft.com/office/spreadsheetml/2009/9/main" uri="{B025F937-C7B1-47D3-B67F-A62EFF666E3E}">
          <x14:id>{952079D9-0B62-40AB-9107-561B13701C90}</x14:id>
        </ext>
      </extLst>
    </cfRule>
  </conditionalFormatting>
  <conditionalFormatting sqref="I31">
    <cfRule type="dataBar" priority="43">
      <dataBar>
        <cfvo type="min"/>
        <cfvo type="formula" val="o_LinkTorqueSelected"/>
        <color rgb="FF00B050"/>
      </dataBar>
      <extLst>
        <ext xmlns:x14="http://schemas.microsoft.com/office/spreadsheetml/2009/9/main" uri="{B025F937-C7B1-47D3-B67F-A62EFF666E3E}">
          <x14:id>{2E6433E3-B534-4EAA-BD51-0ADDEB452499}</x14:id>
        </ext>
      </extLst>
    </cfRule>
  </conditionalFormatting>
  <conditionalFormatting sqref="G29:I29 G31:G32 I31:I32">
    <cfRule type="expression" dxfId="173" priority="41" stopIfTrue="1">
      <formula>$E$29=""</formula>
    </cfRule>
  </conditionalFormatting>
  <conditionalFormatting sqref="H20">
    <cfRule type="expression" dxfId="172" priority="2984">
      <formula>IF(o_BoosterRequired="Yes",TRUE(),FALSE())</formula>
    </cfRule>
  </conditionalFormatting>
  <conditionalFormatting sqref="G5:I5">
    <cfRule type="expression" dxfId="171" priority="38">
      <formula>CurrentVersionReturn=FALSE()</formula>
    </cfRule>
  </conditionalFormatting>
  <conditionalFormatting sqref="G24:I25 G23 I23">
    <cfRule type="expression" dxfId="170" priority="31" stopIfTrue="1">
      <formula>IF(AND(i_Control&lt;&gt;"",i_ControlType=z_ESA),FALSE(),TRUE())</formula>
    </cfRule>
  </conditionalFormatting>
  <conditionalFormatting sqref="G18:I18 K9:L9 G21:I21">
    <cfRule type="expression" dxfId="169" priority="36">
      <formula>IF(AND(i_ControlType&lt;&gt;"Easy Spring Air"),FALSE(),TRUE())</formula>
    </cfRule>
  </conditionalFormatting>
  <conditionalFormatting sqref="I23:I25">
    <cfRule type="expression" dxfId="168" priority="27" stopIfTrue="1">
      <formula>IF(cnt_CompatibleESABooster=0,TRUE,FALSE)</formula>
    </cfRule>
    <cfRule type="expression" dxfId="167" priority="30" stopIfTrue="1">
      <formula>IF(AND(i_Control&lt;&gt;"No suitable options.",i_ControlType=z_ESA,LEN($L$10)&gt;1),FALSE(),TRUE())</formula>
    </cfRule>
  </conditionalFormatting>
  <conditionalFormatting sqref="G21:I21 G22 I22">
    <cfRule type="expression" dxfId="166" priority="34">
      <formula>IF(OR(i_Booster=z_None,i_Booster=z_NoOptions,i_Booster="",i_Booster=z_SelectaControl),TRUE(),FALSE())</formula>
    </cfRule>
  </conditionalFormatting>
  <conditionalFormatting sqref="I24:I25">
    <cfRule type="expression" dxfId="165" priority="32" stopIfTrue="1">
      <formula>IF(OR($I$23="No suitable options.",ISBLANK($I$23)),TRUE(),FALSE())</formula>
    </cfRule>
    <cfRule type="expression" dxfId="164" priority="37">
      <formula>IF(AND(I24="No suitable options.", LEN(L11)&gt;0),TRUE(),FALSE())</formula>
    </cfRule>
  </conditionalFormatting>
  <conditionalFormatting sqref="I23">
    <cfRule type="expression" dxfId="163" priority="35">
      <formula>IF(AND(I23="No suitable options.", LEN(L10)&gt;0),TRUE(),FALSE())</formula>
    </cfRule>
  </conditionalFormatting>
  <conditionalFormatting sqref="D29:E32 G29:I29 G31:G32 I31:I32 K29:L32">
    <cfRule type="expression" dxfId="162" priority="5" stopIfTrue="1">
      <formula>IF(OR(i_ControlType="Motor",i_ControlType="Clutch"),FALSE(),TRUE())</formula>
    </cfRule>
  </conditionalFormatting>
  <conditionalFormatting sqref="C4">
    <cfRule type="expression" dxfId="161" priority="26">
      <formula>LEN(C4)&gt;1</formula>
    </cfRule>
  </conditionalFormatting>
  <conditionalFormatting sqref="E31">
    <cfRule type="expression" dxfId="160" priority="23">
      <formula>i_units_Out="Metric"</formula>
    </cfRule>
    <cfRule type="expression" dxfId="159" priority="24">
      <formula>i_units_Out="Imperial"</formula>
    </cfRule>
  </conditionalFormatting>
  <conditionalFormatting sqref="E31">
    <cfRule type="expression" dxfId="158" priority="25">
      <formula>AND($E31&lt;&gt;"",i_units_Out="Metric")</formula>
    </cfRule>
  </conditionalFormatting>
  <conditionalFormatting sqref="E31">
    <cfRule type="expression" dxfId="157" priority="22" stopIfTrue="1">
      <formula>IF(OR(i_ControlType="Motor",i_ControlType="Clutch"),FALSE(),TRUE())</formula>
    </cfRule>
  </conditionalFormatting>
  <conditionalFormatting sqref="E32">
    <cfRule type="expression" dxfId="156" priority="19">
      <formula>i_units_Out="Metric"</formula>
    </cfRule>
    <cfRule type="expression" dxfId="155" priority="20">
      <formula>i_units_Out="Imperial"</formula>
    </cfRule>
  </conditionalFormatting>
  <conditionalFormatting sqref="E32">
    <cfRule type="expression" dxfId="154" priority="21">
      <formula>AND($E32&lt;&gt;"",i_units_Out="Metric")</formula>
    </cfRule>
  </conditionalFormatting>
  <conditionalFormatting sqref="E32">
    <cfRule type="expression" dxfId="153" priority="18" stopIfTrue="1">
      <formula>IF(OR(i_ControlType="Motor",i_ControlType="Clutch"),FALSE(),TRUE())</formula>
    </cfRule>
  </conditionalFormatting>
  <conditionalFormatting sqref="K29:K32">
    <cfRule type="expression" dxfId="152" priority="14" stopIfTrue="1">
      <formula>$E$29=""</formula>
    </cfRule>
  </conditionalFormatting>
  <conditionalFormatting sqref="K29:K32">
    <cfRule type="expression" dxfId="151" priority="13" stopIfTrue="1">
      <formula>IF(OR(i_ControlType="Motor",i_ControlType="Clutch"),FALSE(),TRUE())</formula>
    </cfRule>
  </conditionalFormatting>
  <conditionalFormatting sqref="D31">
    <cfRule type="expression" dxfId="150" priority="10" stopIfTrue="1">
      <formula>IF(OR(i_ControlType="Motor",i_ControlType="Clutch"),FALSE(),TRUE())</formula>
    </cfRule>
  </conditionalFormatting>
  <conditionalFormatting sqref="D32">
    <cfRule type="expression" dxfId="149" priority="9" stopIfTrue="1">
      <formula>IF(OR(i_ControlType="Motor",i_ControlType="Clutch"),FALSE(),TRUE())</formula>
    </cfRule>
  </conditionalFormatting>
  <conditionalFormatting sqref="L29">
    <cfRule type="expression" dxfId="148" priority="3" stopIfTrue="1">
      <formula>Tube_Deflectio2&gt;Design_Width2*Deflection_limit</formula>
    </cfRule>
    <cfRule type="dataBar" priority="7">
      <formula>IF(Tube_Deflection1&lt;Design_Width1*Deflection_limit, TRUE, FALSE)</formula>
      <dataBar>
        <cfvo type="num" val="0"/>
        <cfvo type="formula" val="o_TubeDeflectionLimit2_Units"/>
        <color rgb="FF00B050"/>
      </dataBar>
      <extLst>
        <ext xmlns:x14="http://schemas.microsoft.com/office/spreadsheetml/2009/9/main" uri="{B025F937-C7B1-47D3-B67F-A62EFF666E3E}">
          <x14:id>{59957BE4-AB03-46EB-B562-C13C18A8DE71}</x14:id>
        </ext>
      </extLst>
    </cfRule>
  </conditionalFormatting>
  <conditionalFormatting sqref="L30">
    <cfRule type="expression" dxfId="147" priority="4" stopIfTrue="1">
      <formula>Tube_Deflection2&gt;Design_Width2*Deflection_limit</formula>
    </cfRule>
    <cfRule type="dataBar" priority="8">
      <formula>IF(Tube_Deflection1&lt;Design_Width1*Deflection_limit, TRUE, FALSE)</formula>
      <dataBar>
        <cfvo type="num" val="0"/>
        <cfvo type="formula" val="o_TubeDeflectionLimit3_Units"/>
        <color rgb="FF00B050"/>
      </dataBar>
      <extLst>
        <ext xmlns:x14="http://schemas.microsoft.com/office/spreadsheetml/2009/9/main" uri="{B025F937-C7B1-47D3-B67F-A62EFF666E3E}">
          <x14:id>{2255033B-FFBA-4211-B640-D80CA75E2D76}</x14:id>
        </ext>
      </extLst>
    </cfRule>
  </conditionalFormatting>
  <conditionalFormatting sqref="L31">
    <cfRule type="expression" dxfId="146" priority="11" stopIfTrue="1">
      <formula>Tube_Deflection4&gt;Design_Width4*Deflection_limit</formula>
    </cfRule>
    <cfRule type="dataBar" priority="28">
      <formula>IF(Tube_Deflection1&lt;Design_Width1*Deflection_limit, TRUE, FALSE)</formula>
      <dataBar>
        <cfvo type="num" val="0"/>
        <cfvo type="formula" val="o_TubeDeflectionLimit4_Units"/>
        <color rgb="FF00B050"/>
      </dataBar>
      <extLst>
        <ext xmlns:x14="http://schemas.microsoft.com/office/spreadsheetml/2009/9/main" uri="{B025F937-C7B1-47D3-B67F-A62EFF666E3E}">
          <x14:id>{50EEB264-EC19-4183-8FD7-29B6681AAFC1}</x14:id>
        </ext>
      </extLst>
    </cfRule>
  </conditionalFormatting>
  <conditionalFormatting sqref="L32">
    <cfRule type="expression" dxfId="145" priority="6" stopIfTrue="1">
      <formula>Tube_Deflection5&gt;Design_Width5*Deflection_limit</formula>
    </cfRule>
    <cfRule type="dataBar" priority="12">
      <formula>IF(Tube_Deflection1&lt;Design_Width1*Deflection_limit, TRUE, FALSE)</formula>
      <dataBar>
        <cfvo type="num" val="0"/>
        <cfvo type="formula" val="o_TubeDeflectionLimit5_Units"/>
        <color rgb="FF00B050"/>
      </dataBar>
      <extLst>
        <ext xmlns:x14="http://schemas.microsoft.com/office/spreadsheetml/2009/9/main" uri="{B025F937-C7B1-47D3-B67F-A62EFF666E3E}">
          <x14:id>{79DFE403-68AF-418E-8AED-CE7476AA5A2E}</x14:id>
        </ext>
      </extLst>
    </cfRule>
  </conditionalFormatting>
  <conditionalFormatting sqref="C31:E32 K31:L32">
    <cfRule type="expression" dxfId="144" priority="1" stopIfTrue="1">
      <formula>IFERROR(IF(FIND("S60",i_Tube)&gt;0,FALSE(),TRUE()),TRUE())</formula>
    </cfRule>
  </conditionalFormatting>
  <dataValidations count="19">
    <dataValidation type="list" allowBlank="1" showInputMessage="1" showErrorMessage="1" sqref="I20" xr:uid="{CE6E06F9-5EAA-419E-B65B-46908D8CFED6}">
      <formula1>L_BoostersOut</formula1>
    </dataValidation>
    <dataValidation type="list" allowBlank="1" showInputMessage="1" showErrorMessage="1" sqref="I8" xr:uid="{8BC7B362-B067-419C-992B-2B5FB97D8DE1}">
      <formula1>L_WeightBars</formula1>
    </dataValidation>
    <dataValidation type="list" allowBlank="1" showInputMessage="1" showErrorMessage="1" sqref="E9" xr:uid="{2B6E510B-C35D-4B7B-8F1F-740196F1171F}">
      <formula1>L_Units</formula1>
    </dataValidation>
    <dataValidation type="list" allowBlank="1" showInputMessage="1" showErrorMessage="1" sqref="S7" xr:uid="{AA980E83-52CE-419A-A59C-C5C8CC2B3539}">
      <formula1>L_Language</formula1>
    </dataValidation>
    <dataValidation type="list" allowBlank="1" showErrorMessage="1" sqref="S9" xr:uid="{1EBD4937-D24B-48F5-A577-40C1A9E2C2E3}">
      <formula1>L_FabricSearchList</formula1>
    </dataValidation>
    <dataValidation type="list" allowBlank="1" showInputMessage="1" showErrorMessage="1" sqref="I13" xr:uid="{1C45C39F-EEB7-40F3-880B-7CD75FE00105}">
      <formula1>L_TubesOut</formula1>
    </dataValidation>
    <dataValidation type="list" allowBlank="1" showInputMessage="1" showErrorMessage="1" sqref="I17" xr:uid="{5532B142-494B-46D4-9451-47874D579723}">
      <formula1>L_ControlsOut</formula1>
    </dataValidation>
    <dataValidation type="list" allowBlank="1" showInputMessage="1" showErrorMessage="1" sqref="I16" xr:uid="{1628BE2E-E2D1-4CAD-AB60-9AA5C4069313}">
      <formula1>L_ControlType</formula1>
    </dataValidation>
    <dataValidation type="list" allowBlank="1" showInputMessage="1" showErrorMessage="1" sqref="E8" xr:uid="{F13288D1-5184-4CF0-B9A6-32D162342E4B}">
      <formula1>L_Region</formula1>
    </dataValidation>
    <dataValidation type="list" allowBlank="1" showInputMessage="1" showErrorMessage="1" sqref="I9" xr:uid="{908280E0-3527-4156-A8EC-EAF24CEF45F3}">
      <formula1>L_Ballast</formula1>
    </dataValidation>
    <dataValidation type="list" allowBlank="1" showInputMessage="1" showErrorMessage="1" sqref="I26" xr:uid="{589ACC5F-A1E9-43B4-AB87-10CDEF6839DD}">
      <formula1>L_BracketOptions</formula1>
    </dataValidation>
    <dataValidation type="list" allowBlank="1" showInputMessage="1" showErrorMessage="1" sqref="L1" xr:uid="{31FBBA91-15AF-43E0-80AF-9EAB272E72D1}">
      <formula1>L_SheetStatus</formula1>
    </dataValidation>
    <dataValidation type="decimal" allowBlank="1" showInputMessage="1" showErrorMessage="1" error="Maximum deflection limit 1%" sqref="E10" xr:uid="{4EB773EB-078B-4112-883B-8815EB7474DC}">
      <formula1>0</formula1>
      <formula2>1</formula2>
    </dataValidation>
    <dataValidation type="decimal" allowBlank="1" showInputMessage="1" showErrorMessage="1" sqref="E11" xr:uid="{CEE963BC-EFA6-459A-A331-333FDF3CC4CF}">
      <formula1>0</formula1>
      <formula2>10</formula2>
    </dataValidation>
    <dataValidation type="list" allowBlank="1" error="Select from drop down list." sqref="E16" xr:uid="{79A195AE-659D-4542-9E59-CF1E2F5C63A5}">
      <formula1>L_FabricSearchList</formula1>
    </dataValidation>
    <dataValidation type="list" allowBlank="1" showInputMessage="1" showErrorMessage="1" sqref="I29" xr:uid="{71F9777E-C8BA-4207-80EF-FC775E499ACE}">
      <formula1>L_LinkOut</formula1>
    </dataValidation>
    <dataValidation type="decimal" allowBlank="1" showInputMessage="1" showErrorMessage="1" sqref="E19:E20 E13:E14 E29:E32" xr:uid="{623B8D93-AA1D-4984-BE84-E946BA16C1E2}">
      <formula1>0</formula1>
      <formula2>100000</formula2>
    </dataValidation>
    <dataValidation type="whole" allowBlank="1" showInputMessage="1" showErrorMessage="1" sqref="I21" xr:uid="{21B07B46-A17B-4AFA-A698-22B47672229D}">
      <formula1>0</formula1>
      <formula2>100</formula2>
    </dataValidation>
    <dataValidation type="list" allowBlank="1" showInputMessage="1" showErrorMessage="1" sqref="I23" xr:uid="{311643FA-5DFA-40E5-9918-FEE29F3AB46F}">
      <formula1>L_CompatibleESABooster</formula1>
    </dataValidation>
  </dataValidations>
  <pageMargins left="0.25" right="0.25" top="0.75" bottom="0.75" header="0.3" footer="0.3"/>
  <pageSetup paperSize="9" scale="4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Sheet7.Button1_Click">
                <anchor moveWithCells="1" sizeWithCells="1">
                  <from>
                    <xdr:col>10</xdr:col>
                    <xdr:colOff>0</xdr:colOff>
                    <xdr:row>2</xdr:row>
                    <xdr:rowOff>184150</xdr:rowOff>
                  </from>
                  <to>
                    <xdr:col>10</xdr:col>
                    <xdr:colOff>2165350</xdr:colOff>
                    <xdr:row>5</xdr:row>
                    <xdr:rowOff>12700</xdr:rowOff>
                  </to>
                </anchor>
              </controlPr>
            </control>
          </mc:Choice>
        </mc:AlternateContent>
        <mc:AlternateContent xmlns:mc="http://schemas.openxmlformats.org/markup-compatibility/2006">
          <mc:Choice Requires="x14">
            <control shapeId="1031" r:id="rId5" name="Button 7">
              <controlPr defaultSize="0" print="0" autoFill="0" autoPict="0" macro="[0]!Sheet7.ImportString">
                <anchor moveWithCells="1" sizeWithCells="1">
                  <from>
                    <xdr:col>8</xdr:col>
                    <xdr:colOff>889000</xdr:colOff>
                    <xdr:row>40</xdr:row>
                    <xdr:rowOff>88900</xdr:rowOff>
                  </from>
                  <to>
                    <xdr:col>8</xdr:col>
                    <xdr:colOff>3048000</xdr:colOff>
                    <xdr:row>43</xdr:row>
                    <xdr:rowOff>69850</xdr:rowOff>
                  </to>
                </anchor>
              </controlPr>
            </control>
          </mc:Choice>
        </mc:AlternateContent>
        <mc:AlternateContent xmlns:mc="http://schemas.openxmlformats.org/markup-compatibility/2006">
          <mc:Choice Requires="x14">
            <control shapeId="1040" r:id="rId6" name="Button 16">
              <controlPr defaultSize="0" print="0" autoFill="0" autoPict="0" macro="[0]!Sheet7.CopyString">
                <anchor moveWithCells="1" sizeWithCells="1">
                  <from>
                    <xdr:col>10</xdr:col>
                    <xdr:colOff>1219200</xdr:colOff>
                    <xdr:row>40</xdr:row>
                    <xdr:rowOff>88900</xdr:rowOff>
                  </from>
                  <to>
                    <xdr:col>11</xdr:col>
                    <xdr:colOff>1003300</xdr:colOff>
                    <xdr:row>43</xdr:row>
                    <xdr:rowOff>69850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50712924-36D8-4272-BF4B-037D7F62879A}">
            <x14:dataBar minLength="0" maxLength="100" gradient="0">
              <x14:cfvo type="autoMin"/>
              <x14:cfvo type="num">
                <xm:f>Control_Capacity_units</xm:f>
              </x14:cfvo>
              <x14:negativeFillColor rgb="FFFF0000"/>
              <x14:axisColor rgb="FF000000"/>
            </x14:dataBar>
          </x14:cfRule>
          <xm:sqref>L8</xm:sqref>
        </x14:conditionalFormatting>
        <x14:conditionalFormatting xmlns:xm="http://schemas.microsoft.com/office/excel/2006/main">
          <x14:cfRule type="dataBar" id="{B1318B68-AB73-4868-B01E-1E42AD83BCE3}">
            <x14:dataBar minLength="0" maxLength="100" gradient="0">
              <x14:cfvo type="num">
                <xm:f>0</xm:f>
              </x14:cfvo>
              <x14:cfvo type="formula">
                <xm:f>UserEffort_Max</xm:f>
              </x14:cfvo>
              <x14:negativeFillColor rgb="FFFF0000"/>
              <x14:axisColor rgb="FF000000"/>
            </x14:dataBar>
          </x14:cfRule>
          <xm:sqref>L17</xm:sqref>
        </x14:conditionalFormatting>
        <x14:conditionalFormatting xmlns:xm="http://schemas.microsoft.com/office/excel/2006/main">
          <x14:cfRule type="dataBar" id="{A2A8095E-A8D6-476D-90B5-2AF744D4BA20}">
            <x14:dataBar minLength="0" maxLength="100" gradient="0">
              <x14:cfvo type="num">
                <xm:f>0</xm:f>
              </x14:cfvo>
              <x14:cfvo type="formula">
                <xm:f>UserEffort_Max</xm:f>
              </x14:cfvo>
              <x14:negativeFillColor rgb="FFFF0000"/>
              <x14:axisColor rgb="FF000000"/>
            </x14:dataBar>
          </x14:cfRule>
          <xm:sqref>L16</xm:sqref>
        </x14:conditionalFormatting>
        <x14:conditionalFormatting xmlns:xm="http://schemas.microsoft.com/office/excel/2006/main">
          <x14:cfRule type="dataBar" id="{48D81FC5-30BB-40D3-B267-D4E641966CDC}">
            <x14:dataBar minLength="0" maxLength="100" gradient="0">
              <x14:cfvo type="num">
                <xm:f>0</xm:f>
              </x14:cfvo>
              <x14:cfvo type="formula">
                <xm:f>o_MaxRollDia_Units</xm:f>
              </x14:cfvo>
              <x14:negativeFillColor rgb="FFFF0000"/>
              <x14:axisColor rgb="FF000000"/>
            </x14:dataBar>
          </x14:cfRule>
          <xm:sqref>L11</xm:sqref>
        </x14:conditionalFormatting>
        <x14:conditionalFormatting xmlns:xm="http://schemas.microsoft.com/office/excel/2006/main">
          <x14:cfRule type="dataBar" id="{A58AB6DD-C10A-4B30-A786-C5CA80ED02DA}">
            <x14:dataBar minLength="0" maxLength="100" gradient="0">
              <x14:cfvo type="num">
                <xm:f>0</xm:f>
              </x14:cfvo>
              <x14:cfvo type="formula">
                <xm:f>o_TubeDeflectionLimit1_Units</xm:f>
              </x14:cfvo>
              <x14:negativeFillColor rgb="FFFF0000"/>
              <x14:axisColor rgb="FF000000"/>
            </x14:dataBar>
          </x14:cfRule>
          <xm:sqref>L14</xm:sqref>
        </x14:conditionalFormatting>
        <x14:conditionalFormatting xmlns:xm="http://schemas.microsoft.com/office/excel/2006/main">
          <x14:cfRule type="dataBar" id="{C14EDEB9-6208-4D68-800C-D5B75B366845}">
            <x14:dataBar minLength="0" maxLength="100" gradient="0">
              <x14:cfvo type="num">
                <xm:f>0</xm:f>
              </x14:cfvo>
              <x14:cfvo type="formula">
                <xm:f>25</xm:f>
              </x14:cfvo>
              <x14:negativeFillColor rgb="FFFF0000"/>
              <x14:axisColor rgb="FF000000"/>
            </x14:dataBar>
          </x14:cfRule>
          <xm:sqref>E50</xm:sqref>
        </x14:conditionalFormatting>
        <x14:conditionalFormatting xmlns:xm="http://schemas.microsoft.com/office/excel/2006/main">
          <x14:cfRule type="dataBar" id="{952079D9-0B62-40AB-9107-561B13701C90}">
            <x14:dataBar minLength="0" maxLength="100" gradient="0">
              <x14:cfvo type="num">
                <xm:f>0</xm:f>
              </x14:cfvo>
              <x14:cfvo type="formula">
                <xm:f>o_TubeDeflectionLimit3_Units</xm:f>
              </x14:cfvo>
              <x14:negativeFillColor rgb="FFFF0000"/>
              <x14:axisColor rgb="FF000000"/>
            </x14:dataBar>
          </x14:cfRule>
          <xm:sqref>L35</xm:sqref>
        </x14:conditionalFormatting>
        <x14:conditionalFormatting xmlns:xm="http://schemas.microsoft.com/office/excel/2006/main">
          <x14:cfRule type="dataBar" id="{2E6433E3-B534-4EAA-BD51-0ADDEB452499}">
            <x14:dataBar minLength="0" maxLength="100" border="1" gradient="0" negativeBarBorderColorSameAsPositive="0">
              <x14:cfvo type="autoMin"/>
              <x14:cfvo type="formula">
                <xm:f>o_LinkTorqueSelected</xm:f>
              </x14:cfvo>
              <x14:borderColor rgb="FF63C384"/>
              <x14:negativeFillColor rgb="FFFF0000"/>
              <x14:negativeBorderColor rgb="FFFF0000"/>
              <x14:axisColor rgb="FF000000"/>
            </x14:dataBar>
          </x14:cfRule>
          <xm:sqref>I31</xm:sqref>
        </x14:conditionalFormatting>
        <x14:conditionalFormatting xmlns:xm="http://schemas.microsoft.com/office/excel/2006/main">
          <x14:cfRule type="dataBar" id="{59957BE4-AB03-46EB-B562-C13C18A8DE71}">
            <x14:dataBar minLength="0" maxLength="100" gradient="0">
              <x14:cfvo type="num">
                <xm:f>0</xm:f>
              </x14:cfvo>
              <x14:cfvo type="formula">
                <xm:f>o_TubeDeflectionLimit2_Units</xm:f>
              </x14:cfvo>
              <x14:negativeFillColor rgb="FFFF0000"/>
              <x14:axisColor rgb="FF000000"/>
            </x14:dataBar>
          </x14:cfRule>
          <xm:sqref>L29</xm:sqref>
        </x14:conditionalFormatting>
        <x14:conditionalFormatting xmlns:xm="http://schemas.microsoft.com/office/excel/2006/main">
          <x14:cfRule type="dataBar" id="{2255033B-FFBA-4211-B640-D80CA75E2D76}">
            <x14:dataBar minLength="0" maxLength="100" gradient="0">
              <x14:cfvo type="num">
                <xm:f>0</xm:f>
              </x14:cfvo>
              <x14:cfvo type="formula">
                <xm:f>o_TubeDeflectionLimit3_Units</xm:f>
              </x14:cfvo>
              <x14:negativeFillColor rgb="FFFF0000"/>
              <x14:axisColor rgb="FF000000"/>
            </x14:dataBar>
          </x14:cfRule>
          <xm:sqref>L30</xm:sqref>
        </x14:conditionalFormatting>
        <x14:conditionalFormatting xmlns:xm="http://schemas.microsoft.com/office/excel/2006/main">
          <x14:cfRule type="dataBar" id="{50EEB264-EC19-4183-8FD7-29B6681AAFC1}">
            <x14:dataBar minLength="0" maxLength="100" gradient="0">
              <x14:cfvo type="num">
                <xm:f>0</xm:f>
              </x14:cfvo>
              <x14:cfvo type="formula">
                <xm:f>o_TubeDeflectionLimit4_Units</xm:f>
              </x14:cfvo>
              <x14:negativeFillColor rgb="FFFF0000"/>
              <x14:axisColor rgb="FF000000"/>
            </x14:dataBar>
          </x14:cfRule>
          <xm:sqref>L31</xm:sqref>
        </x14:conditionalFormatting>
        <x14:conditionalFormatting xmlns:xm="http://schemas.microsoft.com/office/excel/2006/main">
          <x14:cfRule type="dataBar" id="{79DFE403-68AF-418E-8AED-CE7476AA5A2E}">
            <x14:dataBar minLength="0" maxLength="100" gradient="0">
              <x14:cfvo type="num">
                <xm:f>0</xm:f>
              </x14:cfvo>
              <x14:cfvo type="formula">
                <xm:f>o_TubeDeflectionLimit5_Units</xm:f>
              </x14:cfvo>
              <x14:negativeFillColor rgb="FFFF0000"/>
              <x14:axisColor rgb="FF000000"/>
            </x14:dataBar>
          </x14:cfRule>
          <xm:sqref>L32</xm:sqref>
        </x14:conditionalFormatting>
        <x14:conditionalFormatting xmlns:xm="http://schemas.microsoft.com/office/excel/2006/main">
          <x14:cfRule type="dataBar" priority="2939" id="{29950B45-B51A-4261-9C55-470612B5C9F6}">
            <x14:dataBar minLength="0" maxLength="100" gradient="0">
              <x14:cfvo type="autoMin"/>
              <x14:cfvo type="formula">
                <xm:f>IFERROR(ROUNDDOWN(_Parameters!$Y$68-Tube_Rotations-Booster_SF,0),"")</xm:f>
              </x14:cfvo>
              <x14:fillColor rgb="FF00B050"/>
              <x14:negativeFillColor rgb="FFFF0000"/>
              <x14:axisColor rgb="FF000000"/>
            </x14:dataBar>
          </x14:cfRule>
          <xm:sqref>I21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B87A-BEE0-46B0-98BB-5EFC46E09043}">
  <sheetPr codeName="Sheet1">
    <tabColor rgb="FFB0E1EB"/>
  </sheetPr>
  <dimension ref="C1:BL34"/>
  <sheetViews>
    <sheetView showGridLines="0" showRowColHeaders="0" showRuler="0" workbookViewId="0">
      <selection activeCell="E4" sqref="E4"/>
    </sheetView>
  </sheetViews>
  <sheetFormatPr defaultColWidth="0" defaultRowHeight="14.5" zeroHeight="1"/>
  <cols>
    <col min="1" max="1" width="2.54296875" customWidth="1"/>
    <col min="2" max="2" width="2.81640625" customWidth="1"/>
    <col min="3" max="3" width="9.54296875" customWidth="1"/>
    <col min="4" max="4" width="12.54296875" customWidth="1"/>
    <col min="5" max="5" width="11.54296875" customWidth="1"/>
    <col min="6" max="6" width="12.54296875" customWidth="1"/>
    <col min="7" max="7" width="9.1796875" customWidth="1"/>
    <col min="8" max="8" width="2.54296875" customWidth="1"/>
    <col min="9" max="9" width="2.1796875" customWidth="1"/>
    <col min="10" max="10" width="5.54296875" customWidth="1"/>
    <col min="11" max="11" width="7.54296875" customWidth="1"/>
    <col min="12" max="32" width="5.54296875" customWidth="1"/>
    <col min="33" max="34" width="7.54296875" customWidth="1"/>
    <col min="35" max="35" width="3.453125" customWidth="1"/>
    <col min="36" max="36" width="3.453125" hidden="1" customWidth="1"/>
    <col min="37" max="37" width="5.453125" hidden="1" customWidth="1"/>
    <col min="38" max="38" width="7.54296875" hidden="1" customWidth="1"/>
    <col min="39" max="59" width="5.54296875" hidden="1" customWidth="1"/>
    <col min="60" max="60" width="7.54296875" hidden="1" customWidth="1"/>
    <col min="61" max="64" width="9.1796875" hidden="1" customWidth="1"/>
    <col min="65" max="69" width="0" hidden="1" customWidth="1"/>
  </cols>
  <sheetData>
    <row r="1" spans="3:60"/>
    <row r="2" spans="3:60" ht="15" thickBot="1"/>
    <row r="3" spans="3:60" ht="16.5" customHeight="1" thickBot="1">
      <c r="C3" s="740" t="str">
        <f>z_TableSetup</f>
        <v>TABLE SETUP</v>
      </c>
      <c r="D3" s="741"/>
      <c r="E3" s="741"/>
      <c r="F3" s="742"/>
      <c r="L3" s="723" t="str">
        <f>z_Fabric</f>
        <v>Fabric</v>
      </c>
      <c r="M3" s="724"/>
      <c r="N3" s="725"/>
      <c r="O3" s="750" t="str">
        <f>IF(i_Fabric="",z_SelectFabric,i_Fabric)</f>
        <v>Select Fabric</v>
      </c>
      <c r="P3" s="751"/>
      <c r="Q3" s="751"/>
      <c r="R3" s="751"/>
      <c r="S3" s="751"/>
      <c r="T3" s="405" t="str">
        <f ca="1">IFERROR(z_Density&amp;": "&amp;ROUND(INDEX(INDIRECT("T_Fabric[Density_"&amp;i_Units&amp;"]"),MATCH(i_Fabric,T_Fabric[Description],0)),IF(i_Units="Metric",0,2))&amp;" "&amp;INDEX(INDIRECT("T_Units["&amp;i_Units&amp;"]"),MATCH("g/m²",T_Units[Metric],0)),"")</f>
        <v/>
      </c>
      <c r="U3" s="376"/>
      <c r="V3" s="376"/>
      <c r="W3" s="377"/>
    </row>
    <row r="4" spans="3:60" ht="15.5">
      <c r="C4" s="375"/>
      <c r="D4" s="380" t="str">
        <f>z_WidthStart</f>
        <v>Width Start</v>
      </c>
      <c r="E4" s="512">
        <v>0.6</v>
      </c>
      <c r="F4" s="381" t="s">
        <v>0</v>
      </c>
      <c r="L4" s="726"/>
      <c r="M4" s="727"/>
      <c r="N4" s="728"/>
      <c r="O4" s="752"/>
      <c r="P4" s="753"/>
      <c r="Q4" s="753"/>
      <c r="R4" s="753"/>
      <c r="S4" s="753"/>
      <c r="T4" s="389" t="str">
        <f ca="1">IFERROR(z_Thickness&amp;": "&amp;ROUND(INDEX(INDIRECT("T_Fabric[Thickness_"&amp;i_Units&amp;"]"),MATCH(i_Fabric,T_Fabric[Description],0)),IF(i_Units="Metric",2,3))&amp;" "&amp;INDEX(INDIRECT("T_Units["&amp;i_Units&amp;"]"),MATCH("mm",T_Units[Metric],0)),"")</f>
        <v/>
      </c>
      <c r="U4" s="519"/>
      <c r="V4" s="519"/>
      <c r="W4" s="406"/>
    </row>
    <row r="5" spans="3:60" ht="15.5">
      <c r="C5" s="373"/>
      <c r="D5" s="382" t="str">
        <f>z_WidthIncrement</f>
        <v>Width Increment</v>
      </c>
      <c r="E5" s="513">
        <v>0.2</v>
      </c>
      <c r="F5" s="383" t="s">
        <v>0</v>
      </c>
      <c r="L5" s="729" t="str">
        <f>z_Tube</f>
        <v>Tube</v>
      </c>
      <c r="M5" s="730"/>
      <c r="N5" s="731"/>
      <c r="O5" s="388" t="str">
        <f>IF(i_Tube="",z_SelectTube,i_Tube)</f>
        <v>Select Tube</v>
      </c>
      <c r="P5" s="519"/>
      <c r="Q5" s="519"/>
      <c r="R5" s="519"/>
      <c r="S5" s="519"/>
      <c r="T5" s="521"/>
      <c r="U5" s="521"/>
      <c r="V5" s="521"/>
      <c r="W5" s="522"/>
    </row>
    <row r="6" spans="3:60" ht="15.5">
      <c r="C6" s="373"/>
      <c r="D6" s="384" t="str">
        <f>z_DropStart</f>
        <v>Drop Start</v>
      </c>
      <c r="E6" s="514">
        <v>0.6</v>
      </c>
      <c r="F6" s="385" t="s">
        <v>0</v>
      </c>
      <c r="L6" s="732" t="str">
        <f>z_WeightBar</f>
        <v>Weight Bar</v>
      </c>
      <c r="M6" s="733"/>
      <c r="N6" s="734"/>
      <c r="O6" s="388" t="str">
        <f>IF(i_wb="",z_Selectwb,i_wb)</f>
        <v>Select Weight Bar</v>
      </c>
      <c r="P6" s="389"/>
      <c r="Q6" s="389"/>
      <c r="R6" s="389"/>
      <c r="S6" s="389"/>
      <c r="T6" s="520"/>
      <c r="U6" s="520"/>
      <c r="V6" s="520"/>
      <c r="W6" s="406"/>
    </row>
    <row r="7" spans="3:60" ht="16" thickBot="1">
      <c r="C7" s="374"/>
      <c r="D7" s="386" t="str">
        <f>z_DropIncrement</f>
        <v>Drop Increment</v>
      </c>
      <c r="E7" s="515">
        <v>0.2</v>
      </c>
      <c r="F7" s="387" t="s">
        <v>0</v>
      </c>
      <c r="L7" s="732" t="str">
        <f>z_Ballast</f>
        <v>Ballast</v>
      </c>
      <c r="M7" s="733"/>
      <c r="N7" s="734"/>
      <c r="O7" s="388" t="str">
        <f>IF(i_Ballast&lt;&gt;0,i_Ballast,"No Ballast")</f>
        <v>No Ballast</v>
      </c>
      <c r="P7" s="389"/>
      <c r="Q7" s="389"/>
      <c r="R7" s="389"/>
      <c r="S7" s="389"/>
      <c r="T7" s="520"/>
      <c r="U7" s="520"/>
      <c r="V7" s="520"/>
      <c r="W7" s="406"/>
    </row>
    <row r="8" spans="3:60" ht="16" thickBot="1">
      <c r="L8" s="735" t="str">
        <f>z_Control</f>
        <v>Control</v>
      </c>
      <c r="M8" s="736"/>
      <c r="N8" s="737"/>
      <c r="O8" s="390" t="str">
        <f>IF(i_Control="",z_SelectaControl,i_Control&amp;" "&amp;IF(AND(i_Booster&lt;&gt;"",i_Booster&lt;&gt;"No suitable options."),"w/ "&amp;i_Booster,""))</f>
        <v>Select a Control.</v>
      </c>
      <c r="P8" s="391"/>
      <c r="Q8" s="391"/>
      <c r="R8" s="391"/>
      <c r="S8" s="391"/>
      <c r="T8" s="378"/>
      <c r="U8" s="378"/>
      <c r="V8" s="378"/>
      <c r="W8" s="379"/>
    </row>
    <row r="9" spans="3:60" ht="21" customHeight="1" thickBot="1">
      <c r="L9" s="739"/>
      <c r="M9" s="739"/>
      <c r="N9" s="739"/>
      <c r="O9" s="739"/>
      <c r="P9" s="739"/>
      <c r="Q9" s="739"/>
      <c r="R9" s="739"/>
      <c r="S9" s="739"/>
      <c r="T9" s="739"/>
      <c r="U9" s="739"/>
      <c r="V9" s="739"/>
      <c r="W9" s="739"/>
      <c r="X9" s="739"/>
      <c r="Y9" s="739"/>
      <c r="Z9" s="739"/>
      <c r="AA9" s="739"/>
      <c r="AB9" s="739"/>
      <c r="AC9" s="739"/>
      <c r="AD9" s="739"/>
      <c r="AE9" s="739"/>
      <c r="AF9" s="739"/>
      <c r="AM9" s="738"/>
      <c r="AN9" s="738"/>
      <c r="AO9" s="738"/>
      <c r="AP9" s="738"/>
      <c r="AQ9" s="738"/>
      <c r="AR9" s="738"/>
      <c r="AS9" s="738"/>
      <c r="AT9" s="738"/>
      <c r="AU9" s="738"/>
      <c r="AV9" s="738"/>
      <c r="AW9" s="738"/>
      <c r="AX9" s="738"/>
      <c r="AY9" s="738"/>
      <c r="AZ9" s="738"/>
      <c r="BA9" s="738"/>
      <c r="BB9" s="738"/>
      <c r="BC9" s="738"/>
      <c r="BD9" s="738"/>
      <c r="BE9" s="738"/>
      <c r="BF9" s="738"/>
      <c r="BG9" s="738"/>
    </row>
    <row r="10" spans="3:60" ht="20">
      <c r="D10" s="744" t="str">
        <f>z_TubeRotations</f>
        <v># Tube Rotations</v>
      </c>
      <c r="E10" s="748" t="str">
        <f ca="1">z_rollDiameter&amp;" ("&amp;INDEX(INDIRECT("T_Units["&amp;i_Units&amp;"]"),MATCH("mm",T_Units[Metric],0))&amp;")"</f>
        <v>Fabric Roll Diameter (mm)</v>
      </c>
      <c r="F10" s="746" t="s">
        <v>261</v>
      </c>
      <c r="K10" s="722" t="str">
        <f>z_Width</f>
        <v>WIDTH</v>
      </c>
      <c r="L10" s="722"/>
      <c r="M10" s="722"/>
      <c r="N10" s="722"/>
      <c r="O10" s="722"/>
      <c r="P10" s="722"/>
      <c r="Q10" s="722"/>
      <c r="R10" s="722"/>
      <c r="S10" s="722"/>
      <c r="T10" s="722"/>
      <c r="U10" s="722"/>
      <c r="V10" s="722"/>
      <c r="W10" s="722"/>
      <c r="X10" s="722"/>
      <c r="Y10" s="722"/>
      <c r="Z10" s="722"/>
      <c r="AA10" s="722"/>
      <c r="AB10" s="722"/>
      <c r="AC10" s="722"/>
      <c r="AD10" s="722"/>
      <c r="AE10" s="722"/>
      <c r="AF10" s="722"/>
      <c r="AG10" s="722"/>
      <c r="AH10" s="532"/>
      <c r="AL10" s="722" t="str">
        <f>z_Width</f>
        <v>WIDTH</v>
      </c>
      <c r="AM10" s="722"/>
      <c r="AN10" s="722"/>
      <c r="AO10" s="722"/>
      <c r="AP10" s="722"/>
      <c r="AQ10" s="722"/>
      <c r="AR10" s="722"/>
      <c r="AS10" s="722"/>
      <c r="AT10" s="722"/>
      <c r="AU10" s="722"/>
      <c r="AV10" s="722"/>
      <c r="AW10" s="722"/>
      <c r="AX10" s="722"/>
      <c r="AY10" s="722"/>
      <c r="AZ10" s="722"/>
      <c r="BA10" s="722"/>
      <c r="BB10" s="722"/>
      <c r="BC10" s="722"/>
      <c r="BD10" s="722"/>
      <c r="BE10" s="722"/>
      <c r="BF10" s="722"/>
      <c r="BG10" s="722"/>
      <c r="BH10" s="722"/>
    </row>
    <row r="11" spans="3:60" ht="25">
      <c r="C11" s="232" t="s">
        <v>0</v>
      </c>
      <c r="D11" s="745"/>
      <c r="E11" s="749"/>
      <c r="F11" s="747"/>
      <c r="G11" s="307" t="s">
        <v>228</v>
      </c>
      <c r="J11" s="224"/>
      <c r="K11" s="232" t="s">
        <v>0</v>
      </c>
      <c r="L11" s="235">
        <f>ROUND(width_Start,2)</f>
        <v>0.6</v>
      </c>
      <c r="M11" s="233">
        <f t="shared" ref="M11" si="0">ROUND(L11+width_inc,2)</f>
        <v>0.8</v>
      </c>
      <c r="N11" s="233">
        <f t="shared" ref="N11" si="1">ROUND(M11+width_inc,2)</f>
        <v>1</v>
      </c>
      <c r="O11" s="233">
        <f t="shared" ref="O11" si="2">ROUND(N11+width_inc,2)</f>
        <v>1.2</v>
      </c>
      <c r="P11" s="233">
        <f t="shared" ref="P11" si="3">ROUND(O11+width_inc,2)</f>
        <v>1.4</v>
      </c>
      <c r="Q11" s="233">
        <f t="shared" ref="Q11" si="4">ROUND(P11+width_inc,2)</f>
        <v>1.6</v>
      </c>
      <c r="R11" s="234">
        <f t="shared" ref="R11" si="5">ROUND(Q11+width_inc,2)</f>
        <v>1.8</v>
      </c>
      <c r="S11" s="235">
        <f t="shared" ref="S11" si="6">ROUND(R11+width_inc,2)</f>
        <v>2</v>
      </c>
      <c r="T11" s="233">
        <f t="shared" ref="T11" si="7">ROUND(S11+width_inc,2)</f>
        <v>2.2000000000000002</v>
      </c>
      <c r="U11" s="233">
        <f t="shared" ref="U11" si="8">ROUND(T11+width_inc,2)</f>
        <v>2.4</v>
      </c>
      <c r="V11" s="233">
        <f t="shared" ref="V11" si="9">ROUND(U11+width_inc,2)</f>
        <v>2.6</v>
      </c>
      <c r="W11" s="233">
        <f t="shared" ref="W11" si="10">ROUND(V11+width_inc,2)</f>
        <v>2.8</v>
      </c>
      <c r="X11" s="233">
        <f t="shared" ref="X11" si="11">ROUND(W11+width_inc,2)</f>
        <v>3</v>
      </c>
      <c r="Y11" s="233">
        <f t="shared" ref="Y11" si="12">ROUND(X11+width_inc,2)</f>
        <v>3.2</v>
      </c>
      <c r="Z11" s="233">
        <f t="shared" ref="Z11" si="13">ROUND(Y11+width_inc,2)</f>
        <v>3.4</v>
      </c>
      <c r="AA11" s="233">
        <f t="shared" ref="AA11" si="14">ROUND(Z11+width_inc,2)</f>
        <v>3.6</v>
      </c>
      <c r="AB11" s="233">
        <f t="shared" ref="AB11" si="15">ROUND(AA11+width_inc,2)</f>
        <v>3.8</v>
      </c>
      <c r="AC11" s="233">
        <f t="shared" ref="AC11" si="16">ROUND(AB11+width_inc,2)</f>
        <v>4</v>
      </c>
      <c r="AD11" s="233">
        <f t="shared" ref="AD11" si="17">ROUND(AC11+width_inc,2)</f>
        <v>4.2</v>
      </c>
      <c r="AE11" s="233">
        <f t="shared" ref="AE11" si="18">ROUND(AD11+width_inc,2)</f>
        <v>4.4000000000000004</v>
      </c>
      <c r="AF11" s="233">
        <f t="shared" ref="AF11" si="19">ROUND(AE11+width_inc,2)</f>
        <v>4.5999999999999996</v>
      </c>
      <c r="AG11" s="236"/>
      <c r="AH11" s="538"/>
      <c r="AK11" s="224"/>
      <c r="AL11" s="232" t="s">
        <v>0</v>
      </c>
      <c r="AM11" s="235">
        <f>ROUND(width_Start,2)</f>
        <v>0.6</v>
      </c>
      <c r="AN11" s="233">
        <f t="shared" ref="AN11" si="20">ROUND(AM11+width_inc,2)</f>
        <v>0.8</v>
      </c>
      <c r="AO11" s="233">
        <f t="shared" ref="AO11" si="21">ROUND(AN11+width_inc,2)</f>
        <v>1</v>
      </c>
      <c r="AP11" s="233">
        <f t="shared" ref="AP11" si="22">ROUND(AO11+width_inc,2)</f>
        <v>1.2</v>
      </c>
      <c r="AQ11" s="233">
        <f t="shared" ref="AQ11" si="23">ROUND(AP11+width_inc,2)</f>
        <v>1.4</v>
      </c>
      <c r="AR11" s="233">
        <f t="shared" ref="AR11" si="24">ROUND(AQ11+width_inc,2)</f>
        <v>1.6</v>
      </c>
      <c r="AS11" s="234">
        <f t="shared" ref="AS11" si="25">ROUND(AR11+width_inc,2)</f>
        <v>1.8</v>
      </c>
      <c r="AT11" s="235">
        <f t="shared" ref="AT11" si="26">ROUND(AS11+width_inc,2)</f>
        <v>2</v>
      </c>
      <c r="AU11" s="233">
        <f t="shared" ref="AU11" si="27">ROUND(AT11+width_inc,2)</f>
        <v>2.2000000000000002</v>
      </c>
      <c r="AV11" s="233">
        <f t="shared" ref="AV11" si="28">ROUND(AU11+width_inc,2)</f>
        <v>2.4</v>
      </c>
      <c r="AW11" s="233">
        <f t="shared" ref="AW11" si="29">ROUND(AV11+width_inc,2)</f>
        <v>2.6</v>
      </c>
      <c r="AX11" s="233">
        <f t="shared" ref="AX11" si="30">ROUND(AW11+width_inc,2)</f>
        <v>2.8</v>
      </c>
      <c r="AY11" s="233">
        <f t="shared" ref="AY11" si="31">ROUND(AX11+width_inc,2)</f>
        <v>3</v>
      </c>
      <c r="AZ11" s="233">
        <f t="shared" ref="AZ11" si="32">ROUND(AY11+width_inc,2)</f>
        <v>3.2</v>
      </c>
      <c r="BA11" s="233">
        <f t="shared" ref="BA11" si="33">ROUND(AZ11+width_inc,2)</f>
        <v>3.4</v>
      </c>
      <c r="BB11" s="233">
        <f t="shared" ref="BB11" si="34">ROUND(BA11+width_inc,2)</f>
        <v>3.6</v>
      </c>
      <c r="BC11" s="233">
        <f t="shared" ref="BC11" si="35">ROUND(BB11+width_inc,2)</f>
        <v>3.8</v>
      </c>
      <c r="BD11" s="233">
        <f t="shared" ref="BD11" si="36">ROUND(BC11+width_inc,2)</f>
        <v>4</v>
      </c>
      <c r="BE11" s="233">
        <f t="shared" ref="BE11" si="37">ROUND(BD11+width_inc,2)</f>
        <v>4.2</v>
      </c>
      <c r="BF11" s="233">
        <f t="shared" ref="BF11" si="38">ROUND(BE11+width_inc,2)</f>
        <v>4.4000000000000004</v>
      </c>
      <c r="BG11" s="233">
        <f t="shared" ref="BG11" si="39">ROUND(BF11+width_inc,2)</f>
        <v>4.5999999999999996</v>
      </c>
      <c r="BH11" s="236"/>
    </row>
    <row r="12" spans="3:60" ht="21" customHeight="1">
      <c r="C12" s="243">
        <f>ROUND(drop_start,2)</f>
        <v>0.6</v>
      </c>
      <c r="D12" s="308" t="str">
        <f t="shared" ref="D12:D27" si="40">IFERROR((-Tube_OD+SQRT(Tube_OD^2-4*Fabric_Thickness*-K12*1000/PI()))/(2*Fabric_Thickness),"")</f>
        <v/>
      </c>
      <c r="E12" s="341" t="str">
        <f>IFERROR((((-Tube_OD+SQRT(Tube_OD^2-4*Fabric_Thickness*-K12*1000/PI()))/(2*Fabric_Thickness)+i_pwa)*Fabric_Thickness*2+Tube_OD)*IF(i_Units="Metric",1,INDEX(T_Units[Factor],MATCH("mm",T_Units[Metric],0))),"")</f>
        <v/>
      </c>
      <c r="F12" s="309" t="str">
        <f t="shared" ref="F12:F27" si="41">IFERROR(D12/(Control_RPM/60),"")</f>
        <v/>
      </c>
      <c r="G12" s="242">
        <f t="shared" ref="G12:G27" si="42">ROUNDUP(C12/0.0254,0)</f>
        <v>24</v>
      </c>
      <c r="J12" s="743" t="str">
        <f>z_Drop</f>
        <v>DROP</v>
      </c>
      <c r="K12" s="238">
        <f>ROUND(drop_start,2)</f>
        <v>0.6</v>
      </c>
      <c r="L12" s="278" t="str">
        <f t="shared" ref="L12:U21" si="43">IFERROR((5/384)*((g*(Fabric_Density*$K12+Tube_UnitMass+wb_UnitMass+Ballast_UnitMass)*L$11^4)/Tube_IE)*1000,"")</f>
        <v/>
      </c>
      <c r="M12" s="278" t="str">
        <f t="shared" si="43"/>
        <v/>
      </c>
      <c r="N12" s="278" t="str">
        <f t="shared" si="43"/>
        <v/>
      </c>
      <c r="O12" s="278" t="str">
        <f t="shared" si="43"/>
        <v/>
      </c>
      <c r="P12" s="278" t="str">
        <f t="shared" si="43"/>
        <v/>
      </c>
      <c r="Q12" s="278" t="str">
        <f t="shared" si="43"/>
        <v/>
      </c>
      <c r="R12" s="278" t="str">
        <f t="shared" si="43"/>
        <v/>
      </c>
      <c r="S12" s="278" t="str">
        <f t="shared" si="43"/>
        <v/>
      </c>
      <c r="T12" s="278" t="str">
        <f t="shared" si="43"/>
        <v/>
      </c>
      <c r="U12" s="278" t="str">
        <f t="shared" si="43"/>
        <v/>
      </c>
      <c r="V12" s="278" t="str">
        <f t="shared" ref="V12:AF21" si="44">IFERROR((5/384)*((g*(Fabric_Density*$K12+Tube_UnitMass+wb_UnitMass+Ballast_UnitMass)*V$11^4)/Tube_IE)*1000,"")</f>
        <v/>
      </c>
      <c r="W12" s="278" t="str">
        <f t="shared" si="44"/>
        <v/>
      </c>
      <c r="X12" s="278" t="str">
        <f t="shared" si="44"/>
        <v/>
      </c>
      <c r="Y12" s="278" t="str">
        <f t="shared" si="44"/>
        <v/>
      </c>
      <c r="Z12" s="278" t="str">
        <f t="shared" si="44"/>
        <v/>
      </c>
      <c r="AA12" s="278" t="str">
        <f t="shared" si="44"/>
        <v/>
      </c>
      <c r="AB12" s="278" t="str">
        <f t="shared" si="44"/>
        <v/>
      </c>
      <c r="AC12" s="278" t="str">
        <f t="shared" si="44"/>
        <v/>
      </c>
      <c r="AD12" s="278" t="str">
        <f t="shared" si="44"/>
        <v/>
      </c>
      <c r="AE12" s="278" t="str">
        <f t="shared" si="44"/>
        <v/>
      </c>
      <c r="AF12" s="278" t="str">
        <f t="shared" si="44"/>
        <v/>
      </c>
      <c r="AG12" s="442">
        <f t="shared" ref="AG12:AG27" si="45">ROUNDUP(K12/0.0254,0)</f>
        <v>24</v>
      </c>
      <c r="AH12" s="539"/>
      <c r="AK12" s="743" t="str">
        <f>z_Drop</f>
        <v>DROP</v>
      </c>
      <c r="AL12" s="238">
        <f>ROUND(drop_start,2)</f>
        <v>0.6</v>
      </c>
      <c r="AM12" s="278" t="str">
        <f t="shared" ref="AM12:AV21" si="46">IFERROR(IF(($AL12*AM$11*Fabric_Density)+(AM$11*wb_Ballast_UnitMass)&lt;Control_Capacity_kg,1,IF(($AL12*AM$11*Fabric_Density)+(AM$11*wb_Ballast_UnitMass)&lt;Control_BoosterCapacity_kg,2,IF(($AL12*AM$11*Fabric_Density)+(AM$11*wb_Ballast_UnitMass)&gt;Control_BoosterCapacity_kg,3,""))),"")</f>
        <v/>
      </c>
      <c r="AN12" s="278" t="str">
        <f t="shared" si="46"/>
        <v/>
      </c>
      <c r="AO12" s="278" t="str">
        <f t="shared" si="46"/>
        <v/>
      </c>
      <c r="AP12" s="278" t="str">
        <f t="shared" si="46"/>
        <v/>
      </c>
      <c r="AQ12" s="278" t="str">
        <f t="shared" si="46"/>
        <v/>
      </c>
      <c r="AR12" s="278" t="str">
        <f t="shared" si="46"/>
        <v/>
      </c>
      <c r="AS12" s="278" t="str">
        <f t="shared" si="46"/>
        <v/>
      </c>
      <c r="AT12" s="278" t="str">
        <f t="shared" si="46"/>
        <v/>
      </c>
      <c r="AU12" s="278" t="str">
        <f t="shared" si="46"/>
        <v/>
      </c>
      <c r="AV12" s="278" t="str">
        <f t="shared" si="46"/>
        <v/>
      </c>
      <c r="AW12" s="278" t="str">
        <f t="shared" ref="AW12:BG21" si="47">IFERROR(IF(($AL12*AW$11*Fabric_Density)+(AW$11*wb_Ballast_UnitMass)&lt;Control_Capacity_kg,1,IF(($AL12*AW$11*Fabric_Density)+(AW$11*wb_Ballast_UnitMass)&lt;Control_BoosterCapacity_kg,2,IF(($AL12*AW$11*Fabric_Density)+(AW$11*wb_Ballast_UnitMass)&gt;Control_BoosterCapacity_kg,3,""))),"")</f>
        <v/>
      </c>
      <c r="AX12" s="278" t="str">
        <f t="shared" si="47"/>
        <v/>
      </c>
      <c r="AY12" s="278" t="str">
        <f t="shared" si="47"/>
        <v/>
      </c>
      <c r="AZ12" s="278" t="str">
        <f t="shared" si="47"/>
        <v/>
      </c>
      <c r="BA12" s="278" t="str">
        <f t="shared" si="47"/>
        <v/>
      </c>
      <c r="BB12" s="278" t="str">
        <f t="shared" si="47"/>
        <v/>
      </c>
      <c r="BC12" s="278" t="str">
        <f t="shared" si="47"/>
        <v/>
      </c>
      <c r="BD12" s="278" t="str">
        <f t="shared" si="47"/>
        <v/>
      </c>
      <c r="BE12" s="278" t="str">
        <f t="shared" si="47"/>
        <v/>
      </c>
      <c r="BF12" s="278" t="str">
        <f t="shared" si="47"/>
        <v/>
      </c>
      <c r="BG12" s="278" t="str">
        <f t="shared" si="47"/>
        <v/>
      </c>
      <c r="BH12" s="442">
        <f t="shared" ref="BH12:BH27" si="48">ROUNDUP(AL12/0.0254,0)</f>
        <v>24</v>
      </c>
    </row>
    <row r="13" spans="3:60" ht="21">
      <c r="C13" s="243">
        <f t="shared" ref="C13:C27" si="49">ROUND(C12+Drop_inc,2)</f>
        <v>0.8</v>
      </c>
      <c r="D13" s="306" t="str">
        <f t="shared" si="40"/>
        <v/>
      </c>
      <c r="E13" s="241" t="str">
        <f>IFERROR((((-Tube_OD+SQRT(Tube_OD^2-4*Fabric_Thickness*-K13*1000/PI()))/(2*Fabric_Thickness)+i_pwa)*Fabric_Thickness*2+Tube_OD)*IF(i_Units="Metric",1,INDEX(T_Units[Factor],MATCH("mm",T_Units[Metric],0))),"")</f>
        <v/>
      </c>
      <c r="F13" s="239" t="str">
        <f t="shared" si="41"/>
        <v/>
      </c>
      <c r="G13" s="242">
        <f t="shared" si="42"/>
        <v>32</v>
      </c>
      <c r="J13" s="743"/>
      <c r="K13" s="238">
        <f t="shared" ref="K13:K27" si="50">ROUND(K12+Drop_inc,2)</f>
        <v>0.8</v>
      </c>
      <c r="L13" s="278" t="str">
        <f t="shared" si="43"/>
        <v/>
      </c>
      <c r="M13" s="278" t="str">
        <f t="shared" si="43"/>
        <v/>
      </c>
      <c r="N13" s="278" t="str">
        <f t="shared" si="43"/>
        <v/>
      </c>
      <c r="O13" s="278" t="str">
        <f t="shared" si="43"/>
        <v/>
      </c>
      <c r="P13" s="278" t="str">
        <f t="shared" si="43"/>
        <v/>
      </c>
      <c r="Q13" s="278" t="str">
        <f t="shared" si="43"/>
        <v/>
      </c>
      <c r="R13" s="278" t="str">
        <f t="shared" si="43"/>
        <v/>
      </c>
      <c r="S13" s="278" t="str">
        <f t="shared" si="43"/>
        <v/>
      </c>
      <c r="T13" s="278" t="str">
        <f t="shared" si="43"/>
        <v/>
      </c>
      <c r="U13" s="278" t="str">
        <f t="shared" si="43"/>
        <v/>
      </c>
      <c r="V13" s="278" t="str">
        <f t="shared" si="44"/>
        <v/>
      </c>
      <c r="W13" s="278" t="str">
        <f t="shared" si="44"/>
        <v/>
      </c>
      <c r="X13" s="278" t="str">
        <f t="shared" si="44"/>
        <v/>
      </c>
      <c r="Y13" s="278" t="str">
        <f t="shared" si="44"/>
        <v/>
      </c>
      <c r="Z13" s="278" t="str">
        <f t="shared" si="44"/>
        <v/>
      </c>
      <c r="AA13" s="278" t="str">
        <f t="shared" si="44"/>
        <v/>
      </c>
      <c r="AB13" s="278" t="str">
        <f t="shared" si="44"/>
        <v/>
      </c>
      <c r="AC13" s="278" t="str">
        <f t="shared" si="44"/>
        <v/>
      </c>
      <c r="AD13" s="278" t="str">
        <f t="shared" si="44"/>
        <v/>
      </c>
      <c r="AE13" s="278" t="str">
        <f t="shared" si="44"/>
        <v/>
      </c>
      <c r="AF13" s="278" t="str">
        <f t="shared" si="44"/>
        <v/>
      </c>
      <c r="AG13" s="442">
        <f t="shared" si="45"/>
        <v>32</v>
      </c>
      <c r="AH13" s="539"/>
      <c r="AK13" s="743"/>
      <c r="AL13" s="238">
        <f t="shared" ref="AL13:AL27" si="51">ROUND(AL12+Drop_inc,2)</f>
        <v>0.8</v>
      </c>
      <c r="AM13" s="278" t="str">
        <f t="shared" si="46"/>
        <v/>
      </c>
      <c r="AN13" s="278" t="str">
        <f t="shared" si="46"/>
        <v/>
      </c>
      <c r="AO13" s="278" t="str">
        <f t="shared" si="46"/>
        <v/>
      </c>
      <c r="AP13" s="278" t="str">
        <f t="shared" si="46"/>
        <v/>
      </c>
      <c r="AQ13" s="278" t="str">
        <f t="shared" si="46"/>
        <v/>
      </c>
      <c r="AR13" s="278" t="str">
        <f t="shared" si="46"/>
        <v/>
      </c>
      <c r="AS13" s="278" t="str">
        <f t="shared" si="46"/>
        <v/>
      </c>
      <c r="AT13" s="278" t="str">
        <f t="shared" si="46"/>
        <v/>
      </c>
      <c r="AU13" s="278" t="str">
        <f t="shared" si="46"/>
        <v/>
      </c>
      <c r="AV13" s="278" t="str">
        <f t="shared" si="46"/>
        <v/>
      </c>
      <c r="AW13" s="278" t="str">
        <f t="shared" si="47"/>
        <v/>
      </c>
      <c r="AX13" s="278" t="str">
        <f t="shared" si="47"/>
        <v/>
      </c>
      <c r="AY13" s="278" t="str">
        <f t="shared" si="47"/>
        <v/>
      </c>
      <c r="AZ13" s="278" t="str">
        <f t="shared" si="47"/>
        <v/>
      </c>
      <c r="BA13" s="278" t="str">
        <f t="shared" si="47"/>
        <v/>
      </c>
      <c r="BB13" s="278" t="str">
        <f t="shared" si="47"/>
        <v/>
      </c>
      <c r="BC13" s="278" t="str">
        <f t="shared" si="47"/>
        <v/>
      </c>
      <c r="BD13" s="278" t="str">
        <f t="shared" si="47"/>
        <v/>
      </c>
      <c r="BE13" s="278" t="str">
        <f t="shared" si="47"/>
        <v/>
      </c>
      <c r="BF13" s="278" t="str">
        <f t="shared" si="47"/>
        <v/>
      </c>
      <c r="BG13" s="278" t="str">
        <f t="shared" si="47"/>
        <v/>
      </c>
      <c r="BH13" s="442">
        <f t="shared" si="48"/>
        <v>32</v>
      </c>
    </row>
    <row r="14" spans="3:60" ht="21">
      <c r="C14" s="243">
        <f t="shared" si="49"/>
        <v>1</v>
      </c>
      <c r="D14" s="306" t="str">
        <f t="shared" si="40"/>
        <v/>
      </c>
      <c r="E14" s="241" t="str">
        <f>IFERROR((((-Tube_OD+SQRT(Tube_OD^2-4*Fabric_Thickness*-K14*1000/PI()))/(2*Fabric_Thickness)+i_pwa)*Fabric_Thickness*2+Tube_OD)*IF(i_Units="Metric",1,INDEX(T_Units[Factor],MATCH("mm",T_Units[Metric],0))),"")</f>
        <v/>
      </c>
      <c r="F14" s="239" t="str">
        <f t="shared" si="41"/>
        <v/>
      </c>
      <c r="G14" s="242">
        <f t="shared" si="42"/>
        <v>40</v>
      </c>
      <c r="J14" s="743"/>
      <c r="K14" s="238">
        <f t="shared" si="50"/>
        <v>1</v>
      </c>
      <c r="L14" s="278" t="str">
        <f t="shared" si="43"/>
        <v/>
      </c>
      <c r="M14" s="278" t="str">
        <f t="shared" si="43"/>
        <v/>
      </c>
      <c r="N14" s="278" t="str">
        <f t="shared" si="43"/>
        <v/>
      </c>
      <c r="O14" s="278" t="str">
        <f t="shared" si="43"/>
        <v/>
      </c>
      <c r="P14" s="278" t="str">
        <f t="shared" si="43"/>
        <v/>
      </c>
      <c r="Q14" s="278" t="str">
        <f t="shared" si="43"/>
        <v/>
      </c>
      <c r="R14" s="278" t="str">
        <f t="shared" si="43"/>
        <v/>
      </c>
      <c r="S14" s="278" t="str">
        <f t="shared" si="43"/>
        <v/>
      </c>
      <c r="T14" s="278" t="str">
        <f t="shared" si="43"/>
        <v/>
      </c>
      <c r="U14" s="278" t="str">
        <f t="shared" si="43"/>
        <v/>
      </c>
      <c r="V14" s="278" t="str">
        <f t="shared" si="44"/>
        <v/>
      </c>
      <c r="W14" s="278" t="str">
        <f t="shared" si="44"/>
        <v/>
      </c>
      <c r="X14" s="278" t="str">
        <f t="shared" si="44"/>
        <v/>
      </c>
      <c r="Y14" s="278" t="str">
        <f t="shared" si="44"/>
        <v/>
      </c>
      <c r="Z14" s="278" t="str">
        <f t="shared" si="44"/>
        <v/>
      </c>
      <c r="AA14" s="278" t="str">
        <f t="shared" si="44"/>
        <v/>
      </c>
      <c r="AB14" s="278" t="str">
        <f t="shared" si="44"/>
        <v/>
      </c>
      <c r="AC14" s="278" t="str">
        <f t="shared" si="44"/>
        <v/>
      </c>
      <c r="AD14" s="278" t="str">
        <f t="shared" si="44"/>
        <v/>
      </c>
      <c r="AE14" s="278" t="str">
        <f t="shared" si="44"/>
        <v/>
      </c>
      <c r="AF14" s="278" t="str">
        <f t="shared" si="44"/>
        <v/>
      </c>
      <c r="AG14" s="442">
        <f t="shared" si="45"/>
        <v>40</v>
      </c>
      <c r="AH14" s="539"/>
      <c r="AK14" s="743"/>
      <c r="AL14" s="238">
        <f t="shared" si="51"/>
        <v>1</v>
      </c>
      <c r="AM14" s="278" t="str">
        <f t="shared" si="46"/>
        <v/>
      </c>
      <c r="AN14" s="278" t="str">
        <f t="shared" si="46"/>
        <v/>
      </c>
      <c r="AO14" s="278" t="str">
        <f t="shared" si="46"/>
        <v/>
      </c>
      <c r="AP14" s="278" t="str">
        <f t="shared" si="46"/>
        <v/>
      </c>
      <c r="AQ14" s="278" t="str">
        <f t="shared" si="46"/>
        <v/>
      </c>
      <c r="AR14" s="278" t="str">
        <f t="shared" si="46"/>
        <v/>
      </c>
      <c r="AS14" s="278" t="str">
        <f t="shared" si="46"/>
        <v/>
      </c>
      <c r="AT14" s="278" t="str">
        <f t="shared" si="46"/>
        <v/>
      </c>
      <c r="AU14" s="278" t="str">
        <f t="shared" si="46"/>
        <v/>
      </c>
      <c r="AV14" s="278" t="str">
        <f t="shared" si="46"/>
        <v/>
      </c>
      <c r="AW14" s="278" t="str">
        <f t="shared" si="47"/>
        <v/>
      </c>
      <c r="AX14" s="278" t="str">
        <f t="shared" si="47"/>
        <v/>
      </c>
      <c r="AY14" s="278" t="str">
        <f t="shared" si="47"/>
        <v/>
      </c>
      <c r="AZ14" s="278" t="str">
        <f t="shared" si="47"/>
        <v/>
      </c>
      <c r="BA14" s="278" t="str">
        <f t="shared" si="47"/>
        <v/>
      </c>
      <c r="BB14" s="278" t="str">
        <f t="shared" si="47"/>
        <v/>
      </c>
      <c r="BC14" s="278" t="str">
        <f t="shared" si="47"/>
        <v/>
      </c>
      <c r="BD14" s="278" t="str">
        <f t="shared" si="47"/>
        <v/>
      </c>
      <c r="BE14" s="278" t="str">
        <f t="shared" si="47"/>
        <v/>
      </c>
      <c r="BF14" s="278" t="str">
        <f t="shared" si="47"/>
        <v/>
      </c>
      <c r="BG14" s="278" t="str">
        <f t="shared" si="47"/>
        <v/>
      </c>
      <c r="BH14" s="442">
        <f t="shared" si="48"/>
        <v>40</v>
      </c>
    </row>
    <row r="15" spans="3:60" ht="21">
      <c r="C15" s="243">
        <f t="shared" si="49"/>
        <v>1.2</v>
      </c>
      <c r="D15" s="306" t="str">
        <f t="shared" si="40"/>
        <v/>
      </c>
      <c r="E15" s="241" t="str">
        <f>IFERROR((((-Tube_OD+SQRT(Tube_OD^2-4*Fabric_Thickness*-K15*1000/PI()))/(2*Fabric_Thickness)+i_pwa)*Fabric_Thickness*2+Tube_OD)*IF(i_Units="Metric",1,INDEX(T_Units[Factor],MATCH("mm",T_Units[Metric],0))),"")</f>
        <v/>
      </c>
      <c r="F15" s="239" t="str">
        <f t="shared" si="41"/>
        <v/>
      </c>
      <c r="G15" s="242">
        <f t="shared" si="42"/>
        <v>48</v>
      </c>
      <c r="J15" s="743"/>
      <c r="K15" s="238">
        <f t="shared" si="50"/>
        <v>1.2</v>
      </c>
      <c r="L15" s="278" t="str">
        <f t="shared" si="43"/>
        <v/>
      </c>
      <c r="M15" s="278" t="str">
        <f t="shared" si="43"/>
        <v/>
      </c>
      <c r="N15" s="278" t="str">
        <f t="shared" si="43"/>
        <v/>
      </c>
      <c r="O15" s="278" t="str">
        <f t="shared" si="43"/>
        <v/>
      </c>
      <c r="P15" s="278" t="str">
        <f t="shared" si="43"/>
        <v/>
      </c>
      <c r="Q15" s="278" t="str">
        <f t="shared" si="43"/>
        <v/>
      </c>
      <c r="R15" s="278" t="str">
        <f t="shared" si="43"/>
        <v/>
      </c>
      <c r="S15" s="278" t="str">
        <f t="shared" si="43"/>
        <v/>
      </c>
      <c r="T15" s="278" t="str">
        <f t="shared" si="43"/>
        <v/>
      </c>
      <c r="U15" s="278" t="str">
        <f t="shared" si="43"/>
        <v/>
      </c>
      <c r="V15" s="278" t="str">
        <f t="shared" si="44"/>
        <v/>
      </c>
      <c r="W15" s="278" t="str">
        <f t="shared" si="44"/>
        <v/>
      </c>
      <c r="X15" s="278" t="str">
        <f t="shared" si="44"/>
        <v/>
      </c>
      <c r="Y15" s="278" t="str">
        <f t="shared" si="44"/>
        <v/>
      </c>
      <c r="Z15" s="278" t="str">
        <f t="shared" si="44"/>
        <v/>
      </c>
      <c r="AA15" s="278" t="str">
        <f t="shared" si="44"/>
        <v/>
      </c>
      <c r="AB15" s="278" t="str">
        <f t="shared" si="44"/>
        <v/>
      </c>
      <c r="AC15" s="278" t="str">
        <f t="shared" si="44"/>
        <v/>
      </c>
      <c r="AD15" s="278" t="str">
        <f t="shared" si="44"/>
        <v/>
      </c>
      <c r="AE15" s="278" t="str">
        <f t="shared" si="44"/>
        <v/>
      </c>
      <c r="AF15" s="278" t="str">
        <f t="shared" si="44"/>
        <v/>
      </c>
      <c r="AG15" s="442">
        <f t="shared" si="45"/>
        <v>48</v>
      </c>
      <c r="AH15" s="539"/>
      <c r="AK15" s="743"/>
      <c r="AL15" s="238">
        <f t="shared" si="51"/>
        <v>1.2</v>
      </c>
      <c r="AM15" s="278" t="str">
        <f t="shared" si="46"/>
        <v/>
      </c>
      <c r="AN15" s="278" t="str">
        <f t="shared" si="46"/>
        <v/>
      </c>
      <c r="AO15" s="278" t="str">
        <f t="shared" si="46"/>
        <v/>
      </c>
      <c r="AP15" s="278" t="str">
        <f t="shared" si="46"/>
        <v/>
      </c>
      <c r="AQ15" s="278" t="str">
        <f t="shared" si="46"/>
        <v/>
      </c>
      <c r="AR15" s="278" t="str">
        <f t="shared" si="46"/>
        <v/>
      </c>
      <c r="AS15" s="278" t="str">
        <f t="shared" si="46"/>
        <v/>
      </c>
      <c r="AT15" s="278" t="str">
        <f t="shared" si="46"/>
        <v/>
      </c>
      <c r="AU15" s="278" t="str">
        <f t="shared" si="46"/>
        <v/>
      </c>
      <c r="AV15" s="278" t="str">
        <f t="shared" si="46"/>
        <v/>
      </c>
      <c r="AW15" s="278" t="str">
        <f t="shared" si="47"/>
        <v/>
      </c>
      <c r="AX15" s="278" t="str">
        <f t="shared" si="47"/>
        <v/>
      </c>
      <c r="AY15" s="278" t="str">
        <f t="shared" si="47"/>
        <v/>
      </c>
      <c r="AZ15" s="278" t="str">
        <f t="shared" si="47"/>
        <v/>
      </c>
      <c r="BA15" s="278" t="str">
        <f t="shared" si="47"/>
        <v/>
      </c>
      <c r="BB15" s="278" t="str">
        <f t="shared" si="47"/>
        <v/>
      </c>
      <c r="BC15" s="278" t="str">
        <f t="shared" si="47"/>
        <v/>
      </c>
      <c r="BD15" s="278" t="str">
        <f t="shared" si="47"/>
        <v/>
      </c>
      <c r="BE15" s="278" t="str">
        <f t="shared" si="47"/>
        <v/>
      </c>
      <c r="BF15" s="278" t="str">
        <f t="shared" si="47"/>
        <v/>
      </c>
      <c r="BG15" s="278" t="str">
        <f t="shared" si="47"/>
        <v/>
      </c>
      <c r="BH15" s="442">
        <f t="shared" si="48"/>
        <v>48</v>
      </c>
    </row>
    <row r="16" spans="3:60" ht="21">
      <c r="C16" s="243">
        <f t="shared" si="49"/>
        <v>1.4</v>
      </c>
      <c r="D16" s="306" t="str">
        <f t="shared" si="40"/>
        <v/>
      </c>
      <c r="E16" s="241" t="str">
        <f>IFERROR((((-Tube_OD+SQRT(Tube_OD^2-4*Fabric_Thickness*-K16*1000/PI()))/(2*Fabric_Thickness)+i_pwa)*Fabric_Thickness*2+Tube_OD)*IF(i_Units="Metric",1,INDEX(T_Units[Factor],MATCH("mm",T_Units[Metric],0))),"")</f>
        <v/>
      </c>
      <c r="F16" s="239" t="str">
        <f t="shared" si="41"/>
        <v/>
      </c>
      <c r="G16" s="242">
        <f t="shared" si="42"/>
        <v>56</v>
      </c>
      <c r="J16" s="743"/>
      <c r="K16" s="238">
        <f t="shared" si="50"/>
        <v>1.4</v>
      </c>
      <c r="L16" s="278" t="str">
        <f t="shared" si="43"/>
        <v/>
      </c>
      <c r="M16" s="278" t="str">
        <f t="shared" si="43"/>
        <v/>
      </c>
      <c r="N16" s="278" t="str">
        <f t="shared" si="43"/>
        <v/>
      </c>
      <c r="O16" s="278" t="str">
        <f t="shared" si="43"/>
        <v/>
      </c>
      <c r="P16" s="278" t="str">
        <f t="shared" si="43"/>
        <v/>
      </c>
      <c r="Q16" s="278" t="str">
        <f t="shared" si="43"/>
        <v/>
      </c>
      <c r="R16" s="278" t="str">
        <f t="shared" si="43"/>
        <v/>
      </c>
      <c r="S16" s="278" t="str">
        <f t="shared" si="43"/>
        <v/>
      </c>
      <c r="T16" s="278" t="str">
        <f t="shared" si="43"/>
        <v/>
      </c>
      <c r="U16" s="278" t="str">
        <f t="shared" si="43"/>
        <v/>
      </c>
      <c r="V16" s="278" t="str">
        <f t="shared" si="44"/>
        <v/>
      </c>
      <c r="W16" s="278" t="str">
        <f t="shared" si="44"/>
        <v/>
      </c>
      <c r="X16" s="278" t="str">
        <f t="shared" si="44"/>
        <v/>
      </c>
      <c r="Y16" s="278" t="str">
        <f t="shared" si="44"/>
        <v/>
      </c>
      <c r="Z16" s="278" t="str">
        <f t="shared" si="44"/>
        <v/>
      </c>
      <c r="AA16" s="278" t="str">
        <f t="shared" si="44"/>
        <v/>
      </c>
      <c r="AB16" s="278" t="str">
        <f t="shared" si="44"/>
        <v/>
      </c>
      <c r="AC16" s="278" t="str">
        <f t="shared" si="44"/>
        <v/>
      </c>
      <c r="AD16" s="278" t="str">
        <f t="shared" si="44"/>
        <v/>
      </c>
      <c r="AE16" s="278" t="str">
        <f t="shared" si="44"/>
        <v/>
      </c>
      <c r="AF16" s="278" t="str">
        <f t="shared" si="44"/>
        <v/>
      </c>
      <c r="AG16" s="442">
        <f t="shared" si="45"/>
        <v>56</v>
      </c>
      <c r="AH16" s="539"/>
      <c r="AK16" s="743"/>
      <c r="AL16" s="238">
        <f t="shared" si="51"/>
        <v>1.4</v>
      </c>
      <c r="AM16" s="278" t="str">
        <f t="shared" si="46"/>
        <v/>
      </c>
      <c r="AN16" s="278" t="str">
        <f t="shared" si="46"/>
        <v/>
      </c>
      <c r="AO16" s="278" t="str">
        <f t="shared" si="46"/>
        <v/>
      </c>
      <c r="AP16" s="278" t="str">
        <f t="shared" si="46"/>
        <v/>
      </c>
      <c r="AQ16" s="278" t="str">
        <f t="shared" si="46"/>
        <v/>
      </c>
      <c r="AR16" s="278" t="str">
        <f t="shared" si="46"/>
        <v/>
      </c>
      <c r="AS16" s="278" t="str">
        <f t="shared" si="46"/>
        <v/>
      </c>
      <c r="AT16" s="278" t="str">
        <f t="shared" si="46"/>
        <v/>
      </c>
      <c r="AU16" s="278" t="str">
        <f t="shared" si="46"/>
        <v/>
      </c>
      <c r="AV16" s="278" t="str">
        <f t="shared" si="46"/>
        <v/>
      </c>
      <c r="AW16" s="278" t="str">
        <f t="shared" si="47"/>
        <v/>
      </c>
      <c r="AX16" s="278" t="str">
        <f t="shared" si="47"/>
        <v/>
      </c>
      <c r="AY16" s="278" t="str">
        <f t="shared" si="47"/>
        <v/>
      </c>
      <c r="AZ16" s="278" t="str">
        <f t="shared" si="47"/>
        <v/>
      </c>
      <c r="BA16" s="278" t="str">
        <f t="shared" si="47"/>
        <v/>
      </c>
      <c r="BB16" s="278" t="str">
        <f t="shared" si="47"/>
        <v/>
      </c>
      <c r="BC16" s="278" t="str">
        <f t="shared" si="47"/>
        <v/>
      </c>
      <c r="BD16" s="278" t="str">
        <f t="shared" si="47"/>
        <v/>
      </c>
      <c r="BE16" s="278" t="str">
        <f t="shared" si="47"/>
        <v/>
      </c>
      <c r="BF16" s="278" t="str">
        <f t="shared" si="47"/>
        <v/>
      </c>
      <c r="BG16" s="278" t="str">
        <f t="shared" si="47"/>
        <v/>
      </c>
      <c r="BH16" s="442">
        <f t="shared" si="48"/>
        <v>56</v>
      </c>
    </row>
    <row r="17" spans="3:60" ht="21">
      <c r="C17" s="243">
        <f t="shared" si="49"/>
        <v>1.6</v>
      </c>
      <c r="D17" s="306" t="str">
        <f t="shared" si="40"/>
        <v/>
      </c>
      <c r="E17" s="241" t="str">
        <f>IFERROR((((-Tube_OD+SQRT(Tube_OD^2-4*Fabric_Thickness*-K17*1000/PI()))/(2*Fabric_Thickness)+i_pwa)*Fabric_Thickness*2+Tube_OD)*IF(i_Units="Metric",1,INDEX(T_Units[Factor],MATCH("mm",T_Units[Metric],0))),"")</f>
        <v/>
      </c>
      <c r="F17" s="239" t="str">
        <f t="shared" si="41"/>
        <v/>
      </c>
      <c r="G17" s="242">
        <f t="shared" si="42"/>
        <v>63</v>
      </c>
      <c r="J17" s="743"/>
      <c r="K17" s="238">
        <f t="shared" si="50"/>
        <v>1.6</v>
      </c>
      <c r="L17" s="278" t="str">
        <f t="shared" si="43"/>
        <v/>
      </c>
      <c r="M17" s="278" t="str">
        <f t="shared" si="43"/>
        <v/>
      </c>
      <c r="N17" s="278" t="str">
        <f t="shared" si="43"/>
        <v/>
      </c>
      <c r="O17" s="278" t="str">
        <f t="shared" si="43"/>
        <v/>
      </c>
      <c r="P17" s="278" t="str">
        <f t="shared" si="43"/>
        <v/>
      </c>
      <c r="Q17" s="278" t="str">
        <f t="shared" si="43"/>
        <v/>
      </c>
      <c r="R17" s="278" t="str">
        <f t="shared" si="43"/>
        <v/>
      </c>
      <c r="S17" s="278" t="str">
        <f t="shared" si="43"/>
        <v/>
      </c>
      <c r="T17" s="278" t="str">
        <f t="shared" si="43"/>
        <v/>
      </c>
      <c r="U17" s="278" t="str">
        <f t="shared" si="43"/>
        <v/>
      </c>
      <c r="V17" s="278" t="str">
        <f t="shared" si="44"/>
        <v/>
      </c>
      <c r="W17" s="278" t="str">
        <f t="shared" si="44"/>
        <v/>
      </c>
      <c r="X17" s="278" t="str">
        <f t="shared" si="44"/>
        <v/>
      </c>
      <c r="Y17" s="278" t="str">
        <f t="shared" si="44"/>
        <v/>
      </c>
      <c r="Z17" s="278" t="str">
        <f t="shared" si="44"/>
        <v/>
      </c>
      <c r="AA17" s="278" t="str">
        <f t="shared" si="44"/>
        <v/>
      </c>
      <c r="AB17" s="278" t="str">
        <f t="shared" si="44"/>
        <v/>
      </c>
      <c r="AC17" s="278" t="str">
        <f t="shared" si="44"/>
        <v/>
      </c>
      <c r="AD17" s="278" t="str">
        <f t="shared" si="44"/>
        <v/>
      </c>
      <c r="AE17" s="278" t="str">
        <f t="shared" si="44"/>
        <v/>
      </c>
      <c r="AF17" s="278" t="str">
        <f t="shared" si="44"/>
        <v/>
      </c>
      <c r="AG17" s="442">
        <f t="shared" si="45"/>
        <v>63</v>
      </c>
      <c r="AH17" s="539"/>
      <c r="AK17" s="743"/>
      <c r="AL17" s="238">
        <f t="shared" si="51"/>
        <v>1.6</v>
      </c>
      <c r="AM17" s="278" t="str">
        <f t="shared" si="46"/>
        <v/>
      </c>
      <c r="AN17" s="278" t="str">
        <f t="shared" si="46"/>
        <v/>
      </c>
      <c r="AO17" s="278" t="str">
        <f t="shared" si="46"/>
        <v/>
      </c>
      <c r="AP17" s="278" t="str">
        <f t="shared" si="46"/>
        <v/>
      </c>
      <c r="AQ17" s="278" t="str">
        <f t="shared" si="46"/>
        <v/>
      </c>
      <c r="AR17" s="278" t="str">
        <f t="shared" si="46"/>
        <v/>
      </c>
      <c r="AS17" s="278" t="str">
        <f t="shared" si="46"/>
        <v/>
      </c>
      <c r="AT17" s="278" t="str">
        <f t="shared" si="46"/>
        <v/>
      </c>
      <c r="AU17" s="278" t="str">
        <f t="shared" si="46"/>
        <v/>
      </c>
      <c r="AV17" s="278" t="str">
        <f t="shared" si="46"/>
        <v/>
      </c>
      <c r="AW17" s="278" t="str">
        <f t="shared" si="47"/>
        <v/>
      </c>
      <c r="AX17" s="278" t="str">
        <f t="shared" si="47"/>
        <v/>
      </c>
      <c r="AY17" s="278" t="str">
        <f t="shared" si="47"/>
        <v/>
      </c>
      <c r="AZ17" s="278" t="str">
        <f t="shared" si="47"/>
        <v/>
      </c>
      <c r="BA17" s="278" t="str">
        <f t="shared" si="47"/>
        <v/>
      </c>
      <c r="BB17" s="278" t="str">
        <f t="shared" si="47"/>
        <v/>
      </c>
      <c r="BC17" s="278" t="str">
        <f t="shared" si="47"/>
        <v/>
      </c>
      <c r="BD17" s="278" t="str">
        <f t="shared" si="47"/>
        <v/>
      </c>
      <c r="BE17" s="278" t="str">
        <f t="shared" si="47"/>
        <v/>
      </c>
      <c r="BF17" s="278" t="str">
        <f t="shared" si="47"/>
        <v/>
      </c>
      <c r="BG17" s="278" t="str">
        <f t="shared" si="47"/>
        <v/>
      </c>
      <c r="BH17" s="442">
        <f t="shared" si="48"/>
        <v>63</v>
      </c>
    </row>
    <row r="18" spans="3:60" ht="21">
      <c r="C18" s="243">
        <f t="shared" si="49"/>
        <v>1.8</v>
      </c>
      <c r="D18" s="306" t="str">
        <f t="shared" si="40"/>
        <v/>
      </c>
      <c r="E18" s="241" t="str">
        <f>IFERROR((((-Tube_OD+SQRT(Tube_OD^2-4*Fabric_Thickness*-K18*1000/PI()))/(2*Fabric_Thickness)+i_pwa)*Fabric_Thickness*2+Tube_OD)*IF(i_Units="Metric",1,INDEX(T_Units[Factor],MATCH("mm",T_Units[Metric],0))),"")</f>
        <v/>
      </c>
      <c r="F18" s="239" t="str">
        <f t="shared" si="41"/>
        <v/>
      </c>
      <c r="G18" s="242">
        <f t="shared" si="42"/>
        <v>71</v>
      </c>
      <c r="J18" s="743"/>
      <c r="K18" s="238">
        <f t="shared" si="50"/>
        <v>1.8</v>
      </c>
      <c r="L18" s="278" t="str">
        <f t="shared" si="43"/>
        <v/>
      </c>
      <c r="M18" s="278" t="str">
        <f t="shared" si="43"/>
        <v/>
      </c>
      <c r="N18" s="278" t="str">
        <f t="shared" si="43"/>
        <v/>
      </c>
      <c r="O18" s="278" t="str">
        <f t="shared" si="43"/>
        <v/>
      </c>
      <c r="P18" s="278" t="str">
        <f t="shared" si="43"/>
        <v/>
      </c>
      <c r="Q18" s="278" t="str">
        <f t="shared" si="43"/>
        <v/>
      </c>
      <c r="R18" s="278" t="str">
        <f t="shared" si="43"/>
        <v/>
      </c>
      <c r="S18" s="278" t="str">
        <f t="shared" si="43"/>
        <v/>
      </c>
      <c r="T18" s="278" t="str">
        <f t="shared" si="43"/>
        <v/>
      </c>
      <c r="U18" s="278" t="str">
        <f t="shared" si="43"/>
        <v/>
      </c>
      <c r="V18" s="278" t="str">
        <f t="shared" si="44"/>
        <v/>
      </c>
      <c r="W18" s="278" t="str">
        <f t="shared" si="44"/>
        <v/>
      </c>
      <c r="X18" s="278" t="str">
        <f t="shared" si="44"/>
        <v/>
      </c>
      <c r="Y18" s="278" t="str">
        <f t="shared" si="44"/>
        <v/>
      </c>
      <c r="Z18" s="278" t="str">
        <f t="shared" si="44"/>
        <v/>
      </c>
      <c r="AA18" s="278" t="str">
        <f t="shared" si="44"/>
        <v/>
      </c>
      <c r="AB18" s="278" t="str">
        <f t="shared" si="44"/>
        <v/>
      </c>
      <c r="AC18" s="278" t="str">
        <f t="shared" si="44"/>
        <v/>
      </c>
      <c r="AD18" s="278" t="str">
        <f t="shared" si="44"/>
        <v/>
      </c>
      <c r="AE18" s="278" t="str">
        <f t="shared" si="44"/>
        <v/>
      </c>
      <c r="AF18" s="278" t="str">
        <f t="shared" si="44"/>
        <v/>
      </c>
      <c r="AG18" s="442">
        <f t="shared" si="45"/>
        <v>71</v>
      </c>
      <c r="AH18" s="539"/>
      <c r="AK18" s="743"/>
      <c r="AL18" s="238">
        <f t="shared" si="51"/>
        <v>1.8</v>
      </c>
      <c r="AM18" s="278" t="str">
        <f t="shared" si="46"/>
        <v/>
      </c>
      <c r="AN18" s="278" t="str">
        <f t="shared" si="46"/>
        <v/>
      </c>
      <c r="AO18" s="278" t="str">
        <f t="shared" si="46"/>
        <v/>
      </c>
      <c r="AP18" s="278" t="str">
        <f t="shared" si="46"/>
        <v/>
      </c>
      <c r="AQ18" s="278" t="str">
        <f t="shared" si="46"/>
        <v/>
      </c>
      <c r="AR18" s="278" t="str">
        <f t="shared" si="46"/>
        <v/>
      </c>
      <c r="AS18" s="278" t="str">
        <f t="shared" si="46"/>
        <v/>
      </c>
      <c r="AT18" s="278" t="str">
        <f t="shared" si="46"/>
        <v/>
      </c>
      <c r="AU18" s="278" t="str">
        <f t="shared" si="46"/>
        <v/>
      </c>
      <c r="AV18" s="278" t="str">
        <f t="shared" si="46"/>
        <v/>
      </c>
      <c r="AW18" s="278" t="str">
        <f t="shared" si="47"/>
        <v/>
      </c>
      <c r="AX18" s="278" t="str">
        <f t="shared" si="47"/>
        <v/>
      </c>
      <c r="AY18" s="278" t="str">
        <f t="shared" si="47"/>
        <v/>
      </c>
      <c r="AZ18" s="278" t="str">
        <f t="shared" si="47"/>
        <v/>
      </c>
      <c r="BA18" s="278" t="str">
        <f t="shared" si="47"/>
        <v/>
      </c>
      <c r="BB18" s="278" t="str">
        <f t="shared" si="47"/>
        <v/>
      </c>
      <c r="BC18" s="278" t="str">
        <f t="shared" si="47"/>
        <v/>
      </c>
      <c r="BD18" s="278" t="str">
        <f t="shared" si="47"/>
        <v/>
      </c>
      <c r="BE18" s="278" t="str">
        <f t="shared" si="47"/>
        <v/>
      </c>
      <c r="BF18" s="278" t="str">
        <f t="shared" si="47"/>
        <v/>
      </c>
      <c r="BG18" s="278" t="str">
        <f t="shared" si="47"/>
        <v/>
      </c>
      <c r="BH18" s="442">
        <f t="shared" si="48"/>
        <v>71</v>
      </c>
    </row>
    <row r="19" spans="3:60" ht="21">
      <c r="C19" s="243">
        <f t="shared" si="49"/>
        <v>2</v>
      </c>
      <c r="D19" s="306" t="str">
        <f t="shared" si="40"/>
        <v/>
      </c>
      <c r="E19" s="241" t="str">
        <f>IFERROR((((-Tube_OD+SQRT(Tube_OD^2-4*Fabric_Thickness*-K19*1000/PI()))/(2*Fabric_Thickness)+i_pwa)*Fabric_Thickness*2+Tube_OD)*IF(i_Units="Metric",1,INDEX(T_Units[Factor],MATCH("mm",T_Units[Metric],0))),"")</f>
        <v/>
      </c>
      <c r="F19" s="239" t="str">
        <f t="shared" si="41"/>
        <v/>
      </c>
      <c r="G19" s="242">
        <f t="shared" si="42"/>
        <v>79</v>
      </c>
      <c r="J19" s="743"/>
      <c r="K19" s="238">
        <f t="shared" si="50"/>
        <v>2</v>
      </c>
      <c r="L19" s="278" t="str">
        <f t="shared" si="43"/>
        <v/>
      </c>
      <c r="M19" s="278" t="str">
        <f t="shared" si="43"/>
        <v/>
      </c>
      <c r="N19" s="278" t="str">
        <f t="shared" si="43"/>
        <v/>
      </c>
      <c r="O19" s="278" t="str">
        <f t="shared" si="43"/>
        <v/>
      </c>
      <c r="P19" s="278" t="str">
        <f t="shared" si="43"/>
        <v/>
      </c>
      <c r="Q19" s="278" t="str">
        <f t="shared" si="43"/>
        <v/>
      </c>
      <c r="R19" s="278" t="str">
        <f t="shared" si="43"/>
        <v/>
      </c>
      <c r="S19" s="278" t="str">
        <f t="shared" si="43"/>
        <v/>
      </c>
      <c r="T19" s="278" t="str">
        <f t="shared" si="43"/>
        <v/>
      </c>
      <c r="U19" s="278" t="str">
        <f t="shared" si="43"/>
        <v/>
      </c>
      <c r="V19" s="278" t="str">
        <f t="shared" si="44"/>
        <v/>
      </c>
      <c r="W19" s="278" t="str">
        <f t="shared" si="44"/>
        <v/>
      </c>
      <c r="X19" s="278" t="str">
        <f t="shared" si="44"/>
        <v/>
      </c>
      <c r="Y19" s="278" t="str">
        <f t="shared" si="44"/>
        <v/>
      </c>
      <c r="Z19" s="278" t="str">
        <f t="shared" si="44"/>
        <v/>
      </c>
      <c r="AA19" s="278" t="str">
        <f t="shared" si="44"/>
        <v/>
      </c>
      <c r="AB19" s="278" t="str">
        <f t="shared" si="44"/>
        <v/>
      </c>
      <c r="AC19" s="278" t="str">
        <f t="shared" si="44"/>
        <v/>
      </c>
      <c r="AD19" s="278" t="str">
        <f t="shared" si="44"/>
        <v/>
      </c>
      <c r="AE19" s="278" t="str">
        <f t="shared" si="44"/>
        <v/>
      </c>
      <c r="AF19" s="278" t="str">
        <f t="shared" si="44"/>
        <v/>
      </c>
      <c r="AG19" s="442">
        <f t="shared" si="45"/>
        <v>79</v>
      </c>
      <c r="AH19" s="539"/>
      <c r="AK19" s="743"/>
      <c r="AL19" s="238">
        <f t="shared" si="51"/>
        <v>2</v>
      </c>
      <c r="AM19" s="278" t="str">
        <f t="shared" si="46"/>
        <v/>
      </c>
      <c r="AN19" s="278" t="str">
        <f t="shared" si="46"/>
        <v/>
      </c>
      <c r="AO19" s="278" t="str">
        <f t="shared" si="46"/>
        <v/>
      </c>
      <c r="AP19" s="278" t="str">
        <f t="shared" si="46"/>
        <v/>
      </c>
      <c r="AQ19" s="278" t="str">
        <f t="shared" si="46"/>
        <v/>
      </c>
      <c r="AR19" s="278" t="str">
        <f t="shared" si="46"/>
        <v/>
      </c>
      <c r="AS19" s="278" t="str">
        <f t="shared" si="46"/>
        <v/>
      </c>
      <c r="AT19" s="278" t="str">
        <f t="shared" si="46"/>
        <v/>
      </c>
      <c r="AU19" s="278" t="str">
        <f t="shared" si="46"/>
        <v/>
      </c>
      <c r="AV19" s="278" t="str">
        <f t="shared" si="46"/>
        <v/>
      </c>
      <c r="AW19" s="278" t="str">
        <f t="shared" si="47"/>
        <v/>
      </c>
      <c r="AX19" s="278" t="str">
        <f t="shared" si="47"/>
        <v/>
      </c>
      <c r="AY19" s="278" t="str">
        <f t="shared" si="47"/>
        <v/>
      </c>
      <c r="AZ19" s="278" t="str">
        <f t="shared" si="47"/>
        <v/>
      </c>
      <c r="BA19" s="278" t="str">
        <f t="shared" si="47"/>
        <v/>
      </c>
      <c r="BB19" s="278" t="str">
        <f t="shared" si="47"/>
        <v/>
      </c>
      <c r="BC19" s="278" t="str">
        <f t="shared" si="47"/>
        <v/>
      </c>
      <c r="BD19" s="278" t="str">
        <f t="shared" si="47"/>
        <v/>
      </c>
      <c r="BE19" s="278" t="str">
        <f t="shared" si="47"/>
        <v/>
      </c>
      <c r="BF19" s="278" t="str">
        <f t="shared" si="47"/>
        <v/>
      </c>
      <c r="BG19" s="278" t="str">
        <f t="shared" si="47"/>
        <v/>
      </c>
      <c r="BH19" s="442">
        <f t="shared" si="48"/>
        <v>79</v>
      </c>
    </row>
    <row r="20" spans="3:60" ht="21">
      <c r="C20" s="243">
        <f t="shared" si="49"/>
        <v>2.2000000000000002</v>
      </c>
      <c r="D20" s="306" t="str">
        <f t="shared" si="40"/>
        <v/>
      </c>
      <c r="E20" s="241" t="str">
        <f>IFERROR((((-Tube_OD+SQRT(Tube_OD^2-4*Fabric_Thickness*-K20*1000/PI()))/(2*Fabric_Thickness)+i_pwa)*Fabric_Thickness*2+Tube_OD)*IF(i_Units="Metric",1,INDEX(T_Units[Factor],MATCH("mm",T_Units[Metric],0))),"")</f>
        <v/>
      </c>
      <c r="F20" s="239" t="str">
        <f t="shared" si="41"/>
        <v/>
      </c>
      <c r="G20" s="242">
        <f t="shared" si="42"/>
        <v>87</v>
      </c>
      <c r="J20" s="743"/>
      <c r="K20" s="238">
        <f t="shared" si="50"/>
        <v>2.2000000000000002</v>
      </c>
      <c r="L20" s="278" t="str">
        <f t="shared" si="43"/>
        <v/>
      </c>
      <c r="M20" s="278" t="str">
        <f t="shared" si="43"/>
        <v/>
      </c>
      <c r="N20" s="278" t="str">
        <f t="shared" si="43"/>
        <v/>
      </c>
      <c r="O20" s="278" t="str">
        <f t="shared" si="43"/>
        <v/>
      </c>
      <c r="P20" s="278" t="str">
        <f t="shared" si="43"/>
        <v/>
      </c>
      <c r="Q20" s="278" t="str">
        <f t="shared" si="43"/>
        <v/>
      </c>
      <c r="R20" s="278" t="str">
        <f t="shared" si="43"/>
        <v/>
      </c>
      <c r="S20" s="278" t="str">
        <f t="shared" si="43"/>
        <v/>
      </c>
      <c r="T20" s="278" t="str">
        <f t="shared" si="43"/>
        <v/>
      </c>
      <c r="U20" s="278" t="str">
        <f t="shared" si="43"/>
        <v/>
      </c>
      <c r="V20" s="278" t="str">
        <f t="shared" si="44"/>
        <v/>
      </c>
      <c r="W20" s="278" t="str">
        <f t="shared" si="44"/>
        <v/>
      </c>
      <c r="X20" s="278" t="str">
        <f t="shared" si="44"/>
        <v/>
      </c>
      <c r="Y20" s="278" t="str">
        <f t="shared" si="44"/>
        <v/>
      </c>
      <c r="Z20" s="278" t="str">
        <f t="shared" si="44"/>
        <v/>
      </c>
      <c r="AA20" s="278" t="str">
        <f t="shared" si="44"/>
        <v/>
      </c>
      <c r="AB20" s="278" t="str">
        <f t="shared" si="44"/>
        <v/>
      </c>
      <c r="AC20" s="278" t="str">
        <f t="shared" si="44"/>
        <v/>
      </c>
      <c r="AD20" s="278" t="str">
        <f t="shared" si="44"/>
        <v/>
      </c>
      <c r="AE20" s="278" t="str">
        <f t="shared" si="44"/>
        <v/>
      </c>
      <c r="AF20" s="278" t="str">
        <f t="shared" si="44"/>
        <v/>
      </c>
      <c r="AG20" s="442">
        <f t="shared" si="45"/>
        <v>87</v>
      </c>
      <c r="AH20" s="539"/>
      <c r="AK20" s="743"/>
      <c r="AL20" s="238">
        <f t="shared" si="51"/>
        <v>2.2000000000000002</v>
      </c>
      <c r="AM20" s="278" t="str">
        <f t="shared" si="46"/>
        <v/>
      </c>
      <c r="AN20" s="278" t="str">
        <f t="shared" si="46"/>
        <v/>
      </c>
      <c r="AO20" s="278" t="str">
        <f t="shared" si="46"/>
        <v/>
      </c>
      <c r="AP20" s="278" t="str">
        <f t="shared" si="46"/>
        <v/>
      </c>
      <c r="AQ20" s="278" t="str">
        <f t="shared" si="46"/>
        <v/>
      </c>
      <c r="AR20" s="278" t="str">
        <f t="shared" si="46"/>
        <v/>
      </c>
      <c r="AS20" s="278" t="str">
        <f t="shared" si="46"/>
        <v/>
      </c>
      <c r="AT20" s="278" t="str">
        <f t="shared" si="46"/>
        <v/>
      </c>
      <c r="AU20" s="278" t="str">
        <f t="shared" si="46"/>
        <v/>
      </c>
      <c r="AV20" s="278" t="str">
        <f t="shared" si="46"/>
        <v/>
      </c>
      <c r="AW20" s="278" t="str">
        <f t="shared" si="47"/>
        <v/>
      </c>
      <c r="AX20" s="278" t="str">
        <f t="shared" si="47"/>
        <v/>
      </c>
      <c r="AY20" s="278" t="str">
        <f t="shared" si="47"/>
        <v/>
      </c>
      <c r="AZ20" s="278" t="str">
        <f t="shared" si="47"/>
        <v/>
      </c>
      <c r="BA20" s="278" t="str">
        <f t="shared" si="47"/>
        <v/>
      </c>
      <c r="BB20" s="278" t="str">
        <f t="shared" si="47"/>
        <v/>
      </c>
      <c r="BC20" s="278" t="str">
        <f t="shared" si="47"/>
        <v/>
      </c>
      <c r="BD20" s="278" t="str">
        <f t="shared" si="47"/>
        <v/>
      </c>
      <c r="BE20" s="278" t="str">
        <f t="shared" si="47"/>
        <v/>
      </c>
      <c r="BF20" s="278" t="str">
        <f t="shared" si="47"/>
        <v/>
      </c>
      <c r="BG20" s="278" t="str">
        <f t="shared" si="47"/>
        <v/>
      </c>
      <c r="BH20" s="442">
        <f t="shared" si="48"/>
        <v>87</v>
      </c>
    </row>
    <row r="21" spans="3:60" ht="21">
      <c r="C21" s="243">
        <f t="shared" si="49"/>
        <v>2.4</v>
      </c>
      <c r="D21" s="306" t="str">
        <f t="shared" si="40"/>
        <v/>
      </c>
      <c r="E21" s="241" t="str">
        <f>IFERROR((((-Tube_OD+SQRT(Tube_OD^2-4*Fabric_Thickness*-K21*1000/PI()))/(2*Fabric_Thickness)+i_pwa)*Fabric_Thickness*2+Tube_OD)*IF(i_Units="Metric",1,INDEX(T_Units[Factor],MATCH("mm",T_Units[Metric],0))),"")</f>
        <v/>
      </c>
      <c r="F21" s="239" t="str">
        <f t="shared" si="41"/>
        <v/>
      </c>
      <c r="G21" s="242">
        <f t="shared" si="42"/>
        <v>95</v>
      </c>
      <c r="J21" s="743"/>
      <c r="K21" s="238">
        <f t="shared" si="50"/>
        <v>2.4</v>
      </c>
      <c r="L21" s="278" t="str">
        <f t="shared" si="43"/>
        <v/>
      </c>
      <c r="M21" s="278" t="str">
        <f t="shared" si="43"/>
        <v/>
      </c>
      <c r="N21" s="278" t="str">
        <f t="shared" si="43"/>
        <v/>
      </c>
      <c r="O21" s="278" t="str">
        <f t="shared" si="43"/>
        <v/>
      </c>
      <c r="P21" s="278" t="str">
        <f t="shared" si="43"/>
        <v/>
      </c>
      <c r="Q21" s="278" t="str">
        <f t="shared" si="43"/>
        <v/>
      </c>
      <c r="R21" s="278" t="str">
        <f t="shared" si="43"/>
        <v/>
      </c>
      <c r="S21" s="278" t="str">
        <f t="shared" si="43"/>
        <v/>
      </c>
      <c r="T21" s="278" t="str">
        <f t="shared" si="43"/>
        <v/>
      </c>
      <c r="U21" s="278" t="str">
        <f t="shared" si="43"/>
        <v/>
      </c>
      <c r="V21" s="278" t="str">
        <f t="shared" si="44"/>
        <v/>
      </c>
      <c r="W21" s="278" t="str">
        <f t="shared" si="44"/>
        <v/>
      </c>
      <c r="X21" s="278" t="str">
        <f t="shared" si="44"/>
        <v/>
      </c>
      <c r="Y21" s="278" t="str">
        <f t="shared" si="44"/>
        <v/>
      </c>
      <c r="Z21" s="278" t="str">
        <f t="shared" si="44"/>
        <v/>
      </c>
      <c r="AA21" s="278" t="str">
        <f t="shared" si="44"/>
        <v/>
      </c>
      <c r="AB21" s="278" t="str">
        <f t="shared" si="44"/>
        <v/>
      </c>
      <c r="AC21" s="278" t="str">
        <f t="shared" si="44"/>
        <v/>
      </c>
      <c r="AD21" s="278" t="str">
        <f t="shared" si="44"/>
        <v/>
      </c>
      <c r="AE21" s="278" t="str">
        <f t="shared" si="44"/>
        <v/>
      </c>
      <c r="AF21" s="278" t="str">
        <f t="shared" si="44"/>
        <v/>
      </c>
      <c r="AG21" s="442">
        <f t="shared" si="45"/>
        <v>95</v>
      </c>
      <c r="AH21" s="539"/>
      <c r="AK21" s="743"/>
      <c r="AL21" s="238">
        <f t="shared" si="51"/>
        <v>2.4</v>
      </c>
      <c r="AM21" s="278" t="str">
        <f t="shared" si="46"/>
        <v/>
      </c>
      <c r="AN21" s="278" t="str">
        <f t="shared" si="46"/>
        <v/>
      </c>
      <c r="AO21" s="278" t="str">
        <f t="shared" si="46"/>
        <v/>
      </c>
      <c r="AP21" s="278" t="str">
        <f t="shared" si="46"/>
        <v/>
      </c>
      <c r="AQ21" s="278" t="str">
        <f t="shared" si="46"/>
        <v/>
      </c>
      <c r="AR21" s="278" t="str">
        <f t="shared" si="46"/>
        <v/>
      </c>
      <c r="AS21" s="278" t="str">
        <f t="shared" si="46"/>
        <v/>
      </c>
      <c r="AT21" s="278" t="str">
        <f t="shared" si="46"/>
        <v/>
      </c>
      <c r="AU21" s="278" t="str">
        <f t="shared" si="46"/>
        <v/>
      </c>
      <c r="AV21" s="278" t="str">
        <f t="shared" si="46"/>
        <v/>
      </c>
      <c r="AW21" s="278" t="str">
        <f t="shared" si="47"/>
        <v/>
      </c>
      <c r="AX21" s="278" t="str">
        <f t="shared" si="47"/>
        <v/>
      </c>
      <c r="AY21" s="278" t="str">
        <f t="shared" si="47"/>
        <v/>
      </c>
      <c r="AZ21" s="278" t="str">
        <f t="shared" si="47"/>
        <v/>
      </c>
      <c r="BA21" s="278" t="str">
        <f t="shared" si="47"/>
        <v/>
      </c>
      <c r="BB21" s="278" t="str">
        <f t="shared" si="47"/>
        <v/>
      </c>
      <c r="BC21" s="278" t="str">
        <f t="shared" si="47"/>
        <v/>
      </c>
      <c r="BD21" s="278" t="str">
        <f t="shared" si="47"/>
        <v/>
      </c>
      <c r="BE21" s="278" t="str">
        <f t="shared" si="47"/>
        <v/>
      </c>
      <c r="BF21" s="278" t="str">
        <f t="shared" si="47"/>
        <v/>
      </c>
      <c r="BG21" s="278" t="str">
        <f t="shared" si="47"/>
        <v/>
      </c>
      <c r="BH21" s="442">
        <f t="shared" si="48"/>
        <v>95</v>
      </c>
    </row>
    <row r="22" spans="3:60" ht="21">
      <c r="C22" s="243">
        <f t="shared" si="49"/>
        <v>2.6</v>
      </c>
      <c r="D22" s="306" t="str">
        <f t="shared" si="40"/>
        <v/>
      </c>
      <c r="E22" s="241" t="str">
        <f>IFERROR((((-Tube_OD+SQRT(Tube_OD^2-4*Fabric_Thickness*-K22*1000/PI()))/(2*Fabric_Thickness)+i_pwa)*Fabric_Thickness*2+Tube_OD)*IF(i_Units="Metric",1,INDEX(T_Units[Factor],MATCH("mm",T_Units[Metric],0))),"")</f>
        <v/>
      </c>
      <c r="F22" s="239" t="str">
        <f t="shared" si="41"/>
        <v/>
      </c>
      <c r="G22" s="242">
        <f t="shared" si="42"/>
        <v>103</v>
      </c>
      <c r="J22" s="743"/>
      <c r="K22" s="238">
        <f t="shared" si="50"/>
        <v>2.6</v>
      </c>
      <c r="L22" s="278" t="str">
        <f t="shared" ref="L22:U27" si="52">IFERROR((5/384)*((g*(Fabric_Density*$K22+Tube_UnitMass+wb_UnitMass+Ballast_UnitMass)*L$11^4)/Tube_IE)*1000,"")</f>
        <v/>
      </c>
      <c r="M22" s="278" t="str">
        <f t="shared" si="52"/>
        <v/>
      </c>
      <c r="N22" s="278" t="str">
        <f t="shared" si="52"/>
        <v/>
      </c>
      <c r="O22" s="278" t="str">
        <f t="shared" si="52"/>
        <v/>
      </c>
      <c r="P22" s="278" t="str">
        <f t="shared" si="52"/>
        <v/>
      </c>
      <c r="Q22" s="278" t="str">
        <f t="shared" si="52"/>
        <v/>
      </c>
      <c r="R22" s="278" t="str">
        <f t="shared" si="52"/>
        <v/>
      </c>
      <c r="S22" s="278" t="str">
        <f t="shared" si="52"/>
        <v/>
      </c>
      <c r="T22" s="278" t="str">
        <f t="shared" si="52"/>
        <v/>
      </c>
      <c r="U22" s="278" t="str">
        <f t="shared" si="52"/>
        <v/>
      </c>
      <c r="V22" s="278" t="str">
        <f t="shared" ref="V22:AF27" si="53">IFERROR((5/384)*((g*(Fabric_Density*$K22+Tube_UnitMass+wb_UnitMass+Ballast_UnitMass)*V$11^4)/Tube_IE)*1000,"")</f>
        <v/>
      </c>
      <c r="W22" s="278" t="str">
        <f t="shared" si="53"/>
        <v/>
      </c>
      <c r="X22" s="278" t="str">
        <f t="shared" si="53"/>
        <v/>
      </c>
      <c r="Y22" s="278" t="str">
        <f t="shared" si="53"/>
        <v/>
      </c>
      <c r="Z22" s="278" t="str">
        <f t="shared" si="53"/>
        <v/>
      </c>
      <c r="AA22" s="278" t="str">
        <f t="shared" si="53"/>
        <v/>
      </c>
      <c r="AB22" s="278" t="str">
        <f t="shared" si="53"/>
        <v/>
      </c>
      <c r="AC22" s="278" t="str">
        <f t="shared" si="53"/>
        <v/>
      </c>
      <c r="AD22" s="278" t="str">
        <f t="shared" si="53"/>
        <v/>
      </c>
      <c r="AE22" s="278" t="str">
        <f t="shared" si="53"/>
        <v/>
      </c>
      <c r="AF22" s="278" t="str">
        <f t="shared" si="53"/>
        <v/>
      </c>
      <c r="AG22" s="442">
        <f t="shared" si="45"/>
        <v>103</v>
      </c>
      <c r="AH22" s="539"/>
      <c r="AK22" s="743"/>
      <c r="AL22" s="238">
        <f t="shared" si="51"/>
        <v>2.6</v>
      </c>
      <c r="AM22" s="278" t="str">
        <f t="shared" ref="AM22:AV27" si="54">IFERROR(IF(($AL22*AM$11*Fabric_Density)+(AM$11*wb_Ballast_UnitMass)&lt;Control_Capacity_kg,1,IF(($AL22*AM$11*Fabric_Density)+(AM$11*wb_Ballast_UnitMass)&lt;Control_BoosterCapacity_kg,2,IF(($AL22*AM$11*Fabric_Density)+(AM$11*wb_Ballast_UnitMass)&gt;Control_BoosterCapacity_kg,3,""))),"")</f>
        <v/>
      </c>
      <c r="AN22" s="278" t="str">
        <f t="shared" si="54"/>
        <v/>
      </c>
      <c r="AO22" s="278" t="str">
        <f t="shared" si="54"/>
        <v/>
      </c>
      <c r="AP22" s="278" t="str">
        <f t="shared" si="54"/>
        <v/>
      </c>
      <c r="AQ22" s="278" t="str">
        <f t="shared" si="54"/>
        <v/>
      </c>
      <c r="AR22" s="278" t="str">
        <f t="shared" si="54"/>
        <v/>
      </c>
      <c r="AS22" s="278" t="str">
        <f t="shared" si="54"/>
        <v/>
      </c>
      <c r="AT22" s="278" t="str">
        <f t="shared" si="54"/>
        <v/>
      </c>
      <c r="AU22" s="278" t="str">
        <f t="shared" si="54"/>
        <v/>
      </c>
      <c r="AV22" s="278" t="str">
        <f t="shared" si="54"/>
        <v/>
      </c>
      <c r="AW22" s="278" t="str">
        <f t="shared" ref="AW22:BG27" si="55">IFERROR(IF(($AL22*AW$11*Fabric_Density)+(AW$11*wb_Ballast_UnitMass)&lt;Control_Capacity_kg,1,IF(($AL22*AW$11*Fabric_Density)+(AW$11*wb_Ballast_UnitMass)&lt;Control_BoosterCapacity_kg,2,IF(($AL22*AW$11*Fabric_Density)+(AW$11*wb_Ballast_UnitMass)&gt;Control_BoosterCapacity_kg,3,""))),"")</f>
        <v/>
      </c>
      <c r="AX22" s="278" t="str">
        <f t="shared" si="55"/>
        <v/>
      </c>
      <c r="AY22" s="278" t="str">
        <f t="shared" si="55"/>
        <v/>
      </c>
      <c r="AZ22" s="278" t="str">
        <f t="shared" si="55"/>
        <v/>
      </c>
      <c r="BA22" s="278" t="str">
        <f t="shared" si="55"/>
        <v/>
      </c>
      <c r="BB22" s="278" t="str">
        <f t="shared" si="55"/>
        <v/>
      </c>
      <c r="BC22" s="278" t="str">
        <f t="shared" si="55"/>
        <v/>
      </c>
      <c r="BD22" s="278" t="str">
        <f t="shared" si="55"/>
        <v/>
      </c>
      <c r="BE22" s="278" t="str">
        <f t="shared" si="55"/>
        <v/>
      </c>
      <c r="BF22" s="278" t="str">
        <f t="shared" si="55"/>
        <v/>
      </c>
      <c r="BG22" s="278" t="str">
        <f t="shared" si="55"/>
        <v/>
      </c>
      <c r="BH22" s="442">
        <f t="shared" si="48"/>
        <v>103</v>
      </c>
    </row>
    <row r="23" spans="3:60" ht="21">
      <c r="C23" s="243">
        <f t="shared" si="49"/>
        <v>2.8</v>
      </c>
      <c r="D23" s="306" t="str">
        <f t="shared" si="40"/>
        <v/>
      </c>
      <c r="E23" s="241" t="str">
        <f>IFERROR((((-Tube_OD+SQRT(Tube_OD^2-4*Fabric_Thickness*-K23*1000/PI()))/(2*Fabric_Thickness)+i_pwa)*Fabric_Thickness*2+Tube_OD)*IF(i_Units="Metric",1,INDEX(T_Units[Factor],MATCH("mm",T_Units[Metric],0))),"")</f>
        <v/>
      </c>
      <c r="F23" s="239" t="str">
        <f t="shared" si="41"/>
        <v/>
      </c>
      <c r="G23" s="242">
        <f t="shared" si="42"/>
        <v>111</v>
      </c>
      <c r="J23" s="743"/>
      <c r="K23" s="238">
        <f t="shared" si="50"/>
        <v>2.8</v>
      </c>
      <c r="L23" s="278" t="str">
        <f t="shared" si="52"/>
        <v/>
      </c>
      <c r="M23" s="278" t="str">
        <f t="shared" si="52"/>
        <v/>
      </c>
      <c r="N23" s="278" t="str">
        <f t="shared" si="52"/>
        <v/>
      </c>
      <c r="O23" s="278" t="str">
        <f t="shared" si="52"/>
        <v/>
      </c>
      <c r="P23" s="278" t="str">
        <f t="shared" si="52"/>
        <v/>
      </c>
      <c r="Q23" s="278" t="str">
        <f t="shared" si="52"/>
        <v/>
      </c>
      <c r="R23" s="278" t="str">
        <f t="shared" si="52"/>
        <v/>
      </c>
      <c r="S23" s="278" t="str">
        <f t="shared" si="52"/>
        <v/>
      </c>
      <c r="T23" s="278" t="str">
        <f t="shared" si="52"/>
        <v/>
      </c>
      <c r="U23" s="278" t="str">
        <f t="shared" si="52"/>
        <v/>
      </c>
      <c r="V23" s="278" t="str">
        <f t="shared" si="53"/>
        <v/>
      </c>
      <c r="W23" s="278" t="str">
        <f t="shared" si="53"/>
        <v/>
      </c>
      <c r="X23" s="278" t="str">
        <f t="shared" si="53"/>
        <v/>
      </c>
      <c r="Y23" s="278" t="str">
        <f t="shared" si="53"/>
        <v/>
      </c>
      <c r="Z23" s="278" t="str">
        <f t="shared" si="53"/>
        <v/>
      </c>
      <c r="AA23" s="278" t="str">
        <f t="shared" si="53"/>
        <v/>
      </c>
      <c r="AB23" s="278" t="str">
        <f t="shared" si="53"/>
        <v/>
      </c>
      <c r="AC23" s="278" t="str">
        <f t="shared" si="53"/>
        <v/>
      </c>
      <c r="AD23" s="278" t="str">
        <f t="shared" si="53"/>
        <v/>
      </c>
      <c r="AE23" s="278" t="str">
        <f t="shared" si="53"/>
        <v/>
      </c>
      <c r="AF23" s="278" t="str">
        <f t="shared" si="53"/>
        <v/>
      </c>
      <c r="AG23" s="442">
        <f t="shared" si="45"/>
        <v>111</v>
      </c>
      <c r="AH23" s="539"/>
      <c r="AK23" s="743"/>
      <c r="AL23" s="238">
        <f t="shared" si="51"/>
        <v>2.8</v>
      </c>
      <c r="AM23" s="278" t="str">
        <f t="shared" si="54"/>
        <v/>
      </c>
      <c r="AN23" s="278" t="str">
        <f t="shared" si="54"/>
        <v/>
      </c>
      <c r="AO23" s="278" t="str">
        <f t="shared" si="54"/>
        <v/>
      </c>
      <c r="AP23" s="278" t="str">
        <f t="shared" si="54"/>
        <v/>
      </c>
      <c r="AQ23" s="278" t="str">
        <f t="shared" si="54"/>
        <v/>
      </c>
      <c r="AR23" s="278" t="str">
        <f t="shared" si="54"/>
        <v/>
      </c>
      <c r="AS23" s="278" t="str">
        <f t="shared" si="54"/>
        <v/>
      </c>
      <c r="AT23" s="278" t="str">
        <f t="shared" si="54"/>
        <v/>
      </c>
      <c r="AU23" s="278" t="str">
        <f t="shared" si="54"/>
        <v/>
      </c>
      <c r="AV23" s="278" t="str">
        <f t="shared" si="54"/>
        <v/>
      </c>
      <c r="AW23" s="278" t="str">
        <f t="shared" si="55"/>
        <v/>
      </c>
      <c r="AX23" s="278" t="str">
        <f t="shared" si="55"/>
        <v/>
      </c>
      <c r="AY23" s="278" t="str">
        <f t="shared" si="55"/>
        <v/>
      </c>
      <c r="AZ23" s="278" t="str">
        <f t="shared" si="55"/>
        <v/>
      </c>
      <c r="BA23" s="278" t="str">
        <f t="shared" si="55"/>
        <v/>
      </c>
      <c r="BB23" s="278" t="str">
        <f t="shared" si="55"/>
        <v/>
      </c>
      <c r="BC23" s="278" t="str">
        <f t="shared" si="55"/>
        <v/>
      </c>
      <c r="BD23" s="278" t="str">
        <f t="shared" si="55"/>
        <v/>
      </c>
      <c r="BE23" s="278" t="str">
        <f t="shared" si="55"/>
        <v/>
      </c>
      <c r="BF23" s="278" t="str">
        <f t="shared" si="55"/>
        <v/>
      </c>
      <c r="BG23" s="278" t="str">
        <f t="shared" si="55"/>
        <v/>
      </c>
      <c r="BH23" s="442">
        <f t="shared" si="48"/>
        <v>111</v>
      </c>
    </row>
    <row r="24" spans="3:60" ht="21">
      <c r="C24" s="243">
        <f t="shared" si="49"/>
        <v>3</v>
      </c>
      <c r="D24" s="306" t="str">
        <f t="shared" si="40"/>
        <v/>
      </c>
      <c r="E24" s="241" t="str">
        <f>IFERROR((((-Tube_OD+SQRT(Tube_OD^2-4*Fabric_Thickness*-K24*1000/PI()))/(2*Fabric_Thickness)+i_pwa)*Fabric_Thickness*2+Tube_OD)*IF(i_Units="Metric",1,INDEX(T_Units[Factor],MATCH("mm",T_Units[Metric],0))),"")</f>
        <v/>
      </c>
      <c r="F24" s="239" t="str">
        <f t="shared" si="41"/>
        <v/>
      </c>
      <c r="G24" s="242">
        <f t="shared" si="42"/>
        <v>119</v>
      </c>
      <c r="J24" s="743"/>
      <c r="K24" s="238">
        <f t="shared" si="50"/>
        <v>3</v>
      </c>
      <c r="L24" s="278" t="str">
        <f t="shared" si="52"/>
        <v/>
      </c>
      <c r="M24" s="278" t="str">
        <f t="shared" si="52"/>
        <v/>
      </c>
      <c r="N24" s="278" t="str">
        <f t="shared" si="52"/>
        <v/>
      </c>
      <c r="O24" s="278" t="str">
        <f t="shared" si="52"/>
        <v/>
      </c>
      <c r="P24" s="278" t="str">
        <f t="shared" si="52"/>
        <v/>
      </c>
      <c r="Q24" s="278" t="str">
        <f t="shared" si="52"/>
        <v/>
      </c>
      <c r="R24" s="278" t="str">
        <f t="shared" si="52"/>
        <v/>
      </c>
      <c r="S24" s="278" t="str">
        <f t="shared" si="52"/>
        <v/>
      </c>
      <c r="T24" s="278" t="str">
        <f t="shared" si="52"/>
        <v/>
      </c>
      <c r="U24" s="278" t="str">
        <f t="shared" si="52"/>
        <v/>
      </c>
      <c r="V24" s="278" t="str">
        <f t="shared" si="53"/>
        <v/>
      </c>
      <c r="W24" s="278" t="str">
        <f t="shared" si="53"/>
        <v/>
      </c>
      <c r="X24" s="278" t="str">
        <f t="shared" si="53"/>
        <v/>
      </c>
      <c r="Y24" s="278" t="str">
        <f t="shared" si="53"/>
        <v/>
      </c>
      <c r="Z24" s="278" t="str">
        <f t="shared" si="53"/>
        <v/>
      </c>
      <c r="AA24" s="278" t="str">
        <f t="shared" si="53"/>
        <v/>
      </c>
      <c r="AB24" s="278" t="str">
        <f t="shared" si="53"/>
        <v/>
      </c>
      <c r="AC24" s="278" t="str">
        <f t="shared" si="53"/>
        <v/>
      </c>
      <c r="AD24" s="278" t="str">
        <f t="shared" si="53"/>
        <v/>
      </c>
      <c r="AE24" s="278" t="str">
        <f t="shared" si="53"/>
        <v/>
      </c>
      <c r="AF24" s="278" t="str">
        <f t="shared" si="53"/>
        <v/>
      </c>
      <c r="AG24" s="442">
        <f t="shared" si="45"/>
        <v>119</v>
      </c>
      <c r="AH24" s="539"/>
      <c r="AK24" s="743"/>
      <c r="AL24" s="238">
        <f t="shared" si="51"/>
        <v>3</v>
      </c>
      <c r="AM24" s="278" t="str">
        <f t="shared" si="54"/>
        <v/>
      </c>
      <c r="AN24" s="278" t="str">
        <f t="shared" si="54"/>
        <v/>
      </c>
      <c r="AO24" s="278" t="str">
        <f t="shared" si="54"/>
        <v/>
      </c>
      <c r="AP24" s="278" t="str">
        <f t="shared" si="54"/>
        <v/>
      </c>
      <c r="AQ24" s="278" t="str">
        <f t="shared" si="54"/>
        <v/>
      </c>
      <c r="AR24" s="278" t="str">
        <f t="shared" si="54"/>
        <v/>
      </c>
      <c r="AS24" s="278" t="str">
        <f t="shared" si="54"/>
        <v/>
      </c>
      <c r="AT24" s="278" t="str">
        <f t="shared" si="54"/>
        <v/>
      </c>
      <c r="AU24" s="278" t="str">
        <f t="shared" si="54"/>
        <v/>
      </c>
      <c r="AV24" s="278" t="str">
        <f t="shared" si="54"/>
        <v/>
      </c>
      <c r="AW24" s="278" t="str">
        <f t="shared" si="55"/>
        <v/>
      </c>
      <c r="AX24" s="278" t="str">
        <f t="shared" si="55"/>
        <v/>
      </c>
      <c r="AY24" s="278" t="str">
        <f t="shared" si="55"/>
        <v/>
      </c>
      <c r="AZ24" s="278" t="str">
        <f t="shared" si="55"/>
        <v/>
      </c>
      <c r="BA24" s="278" t="str">
        <f t="shared" si="55"/>
        <v/>
      </c>
      <c r="BB24" s="278" t="str">
        <f t="shared" si="55"/>
        <v/>
      </c>
      <c r="BC24" s="278" t="str">
        <f t="shared" si="55"/>
        <v/>
      </c>
      <c r="BD24" s="278" t="str">
        <f t="shared" si="55"/>
        <v/>
      </c>
      <c r="BE24" s="278" t="str">
        <f t="shared" si="55"/>
        <v/>
      </c>
      <c r="BF24" s="278" t="str">
        <f t="shared" si="55"/>
        <v/>
      </c>
      <c r="BG24" s="278" t="str">
        <f t="shared" si="55"/>
        <v/>
      </c>
      <c r="BH24" s="442">
        <f t="shared" si="48"/>
        <v>119</v>
      </c>
    </row>
    <row r="25" spans="3:60" ht="21">
      <c r="C25" s="243">
        <f t="shared" si="49"/>
        <v>3.2</v>
      </c>
      <c r="D25" s="306" t="str">
        <f t="shared" si="40"/>
        <v/>
      </c>
      <c r="E25" s="241" t="str">
        <f>IFERROR((((-Tube_OD+SQRT(Tube_OD^2-4*Fabric_Thickness*-K25*1000/PI()))/(2*Fabric_Thickness)+i_pwa)*Fabric_Thickness*2+Tube_OD)*IF(i_Units="Metric",1,INDEX(T_Units[Factor],MATCH("mm",T_Units[Metric],0))),"")</f>
        <v/>
      </c>
      <c r="F25" s="239" t="str">
        <f t="shared" si="41"/>
        <v/>
      </c>
      <c r="G25" s="242">
        <f t="shared" si="42"/>
        <v>126</v>
      </c>
      <c r="J25" s="743"/>
      <c r="K25" s="238">
        <f t="shared" si="50"/>
        <v>3.2</v>
      </c>
      <c r="L25" s="278" t="str">
        <f t="shared" si="52"/>
        <v/>
      </c>
      <c r="M25" s="278" t="str">
        <f t="shared" si="52"/>
        <v/>
      </c>
      <c r="N25" s="278" t="str">
        <f t="shared" si="52"/>
        <v/>
      </c>
      <c r="O25" s="278" t="str">
        <f t="shared" si="52"/>
        <v/>
      </c>
      <c r="P25" s="278" t="str">
        <f t="shared" si="52"/>
        <v/>
      </c>
      <c r="Q25" s="278" t="str">
        <f t="shared" si="52"/>
        <v/>
      </c>
      <c r="R25" s="278" t="str">
        <f t="shared" si="52"/>
        <v/>
      </c>
      <c r="S25" s="278" t="str">
        <f t="shared" si="52"/>
        <v/>
      </c>
      <c r="T25" s="278" t="str">
        <f t="shared" si="52"/>
        <v/>
      </c>
      <c r="U25" s="278" t="str">
        <f t="shared" si="52"/>
        <v/>
      </c>
      <c r="V25" s="278" t="str">
        <f t="shared" si="53"/>
        <v/>
      </c>
      <c r="W25" s="278" t="str">
        <f t="shared" si="53"/>
        <v/>
      </c>
      <c r="X25" s="278" t="str">
        <f t="shared" si="53"/>
        <v/>
      </c>
      <c r="Y25" s="278" t="str">
        <f t="shared" si="53"/>
        <v/>
      </c>
      <c r="Z25" s="278" t="str">
        <f t="shared" si="53"/>
        <v/>
      </c>
      <c r="AA25" s="278" t="str">
        <f t="shared" si="53"/>
        <v/>
      </c>
      <c r="AB25" s="278" t="str">
        <f t="shared" si="53"/>
        <v/>
      </c>
      <c r="AC25" s="278" t="str">
        <f t="shared" si="53"/>
        <v/>
      </c>
      <c r="AD25" s="278" t="str">
        <f t="shared" si="53"/>
        <v/>
      </c>
      <c r="AE25" s="278" t="str">
        <f t="shared" si="53"/>
        <v/>
      </c>
      <c r="AF25" s="278" t="str">
        <f t="shared" si="53"/>
        <v/>
      </c>
      <c r="AG25" s="443">
        <f t="shared" si="45"/>
        <v>126</v>
      </c>
      <c r="AH25" s="539"/>
      <c r="AK25" s="743"/>
      <c r="AL25" s="238">
        <f t="shared" si="51"/>
        <v>3.2</v>
      </c>
      <c r="AM25" s="278" t="str">
        <f t="shared" si="54"/>
        <v/>
      </c>
      <c r="AN25" s="278" t="str">
        <f t="shared" si="54"/>
        <v/>
      </c>
      <c r="AO25" s="278" t="str">
        <f t="shared" si="54"/>
        <v/>
      </c>
      <c r="AP25" s="278" t="str">
        <f t="shared" si="54"/>
        <v/>
      </c>
      <c r="AQ25" s="278" t="str">
        <f t="shared" si="54"/>
        <v/>
      </c>
      <c r="AR25" s="278" t="str">
        <f t="shared" si="54"/>
        <v/>
      </c>
      <c r="AS25" s="278" t="str">
        <f t="shared" si="54"/>
        <v/>
      </c>
      <c r="AT25" s="278" t="str">
        <f t="shared" si="54"/>
        <v/>
      </c>
      <c r="AU25" s="278" t="str">
        <f t="shared" si="54"/>
        <v/>
      </c>
      <c r="AV25" s="278" t="str">
        <f t="shared" si="54"/>
        <v/>
      </c>
      <c r="AW25" s="278" t="str">
        <f t="shared" si="55"/>
        <v/>
      </c>
      <c r="AX25" s="278" t="str">
        <f t="shared" si="55"/>
        <v/>
      </c>
      <c r="AY25" s="278" t="str">
        <f t="shared" si="55"/>
        <v/>
      </c>
      <c r="AZ25" s="278" t="str">
        <f t="shared" si="55"/>
        <v/>
      </c>
      <c r="BA25" s="278" t="str">
        <f t="shared" si="55"/>
        <v/>
      </c>
      <c r="BB25" s="278" t="str">
        <f t="shared" si="55"/>
        <v/>
      </c>
      <c r="BC25" s="278" t="str">
        <f t="shared" si="55"/>
        <v/>
      </c>
      <c r="BD25" s="278" t="str">
        <f t="shared" si="55"/>
        <v/>
      </c>
      <c r="BE25" s="278" t="str">
        <f t="shared" si="55"/>
        <v/>
      </c>
      <c r="BF25" s="278" t="str">
        <f t="shared" si="55"/>
        <v/>
      </c>
      <c r="BG25" s="278" t="str">
        <f t="shared" si="55"/>
        <v/>
      </c>
      <c r="BH25" s="443">
        <f t="shared" si="48"/>
        <v>126</v>
      </c>
    </row>
    <row r="26" spans="3:60" ht="21">
      <c r="C26" s="243">
        <f t="shared" si="49"/>
        <v>3.4</v>
      </c>
      <c r="D26" s="306" t="str">
        <f t="shared" si="40"/>
        <v/>
      </c>
      <c r="E26" s="241" t="str">
        <f>IFERROR((((-Tube_OD+SQRT(Tube_OD^2-4*Fabric_Thickness*-K26*1000/PI()))/(2*Fabric_Thickness)+i_pwa)*Fabric_Thickness*2+Tube_OD)*IF(i_Units="Metric",1,INDEX(T_Units[Factor],MATCH("mm",T_Units[Metric],0))),"")</f>
        <v/>
      </c>
      <c r="F26" s="239" t="str">
        <f t="shared" si="41"/>
        <v/>
      </c>
      <c r="G26" s="242">
        <f t="shared" si="42"/>
        <v>134</v>
      </c>
      <c r="J26" s="743"/>
      <c r="K26" s="238">
        <f t="shared" si="50"/>
        <v>3.4</v>
      </c>
      <c r="L26" s="278" t="str">
        <f t="shared" si="52"/>
        <v/>
      </c>
      <c r="M26" s="278" t="str">
        <f t="shared" si="52"/>
        <v/>
      </c>
      <c r="N26" s="278" t="str">
        <f t="shared" si="52"/>
        <v/>
      </c>
      <c r="O26" s="278" t="str">
        <f t="shared" si="52"/>
        <v/>
      </c>
      <c r="P26" s="278" t="str">
        <f t="shared" si="52"/>
        <v/>
      </c>
      <c r="Q26" s="278" t="str">
        <f t="shared" si="52"/>
        <v/>
      </c>
      <c r="R26" s="278" t="str">
        <f t="shared" si="52"/>
        <v/>
      </c>
      <c r="S26" s="278" t="str">
        <f t="shared" si="52"/>
        <v/>
      </c>
      <c r="T26" s="278" t="str">
        <f t="shared" si="52"/>
        <v/>
      </c>
      <c r="U26" s="278" t="str">
        <f t="shared" si="52"/>
        <v/>
      </c>
      <c r="V26" s="278" t="str">
        <f t="shared" si="53"/>
        <v/>
      </c>
      <c r="W26" s="278" t="str">
        <f t="shared" si="53"/>
        <v/>
      </c>
      <c r="X26" s="278" t="str">
        <f t="shared" si="53"/>
        <v/>
      </c>
      <c r="Y26" s="278" t="str">
        <f t="shared" si="53"/>
        <v/>
      </c>
      <c r="Z26" s="278" t="str">
        <f t="shared" si="53"/>
        <v/>
      </c>
      <c r="AA26" s="278" t="str">
        <f t="shared" si="53"/>
        <v/>
      </c>
      <c r="AB26" s="278" t="str">
        <f t="shared" si="53"/>
        <v/>
      </c>
      <c r="AC26" s="278" t="str">
        <f t="shared" si="53"/>
        <v/>
      </c>
      <c r="AD26" s="278" t="str">
        <f t="shared" si="53"/>
        <v/>
      </c>
      <c r="AE26" s="278" t="str">
        <f t="shared" si="53"/>
        <v/>
      </c>
      <c r="AF26" s="278" t="str">
        <f t="shared" si="53"/>
        <v/>
      </c>
      <c r="AG26" s="442">
        <f t="shared" si="45"/>
        <v>134</v>
      </c>
      <c r="AH26" s="539"/>
      <c r="AK26" s="743"/>
      <c r="AL26" s="238">
        <f t="shared" si="51"/>
        <v>3.4</v>
      </c>
      <c r="AM26" s="278" t="str">
        <f t="shared" si="54"/>
        <v/>
      </c>
      <c r="AN26" s="278" t="str">
        <f t="shared" si="54"/>
        <v/>
      </c>
      <c r="AO26" s="278" t="str">
        <f t="shared" si="54"/>
        <v/>
      </c>
      <c r="AP26" s="278" t="str">
        <f t="shared" si="54"/>
        <v/>
      </c>
      <c r="AQ26" s="278" t="str">
        <f t="shared" si="54"/>
        <v/>
      </c>
      <c r="AR26" s="278" t="str">
        <f t="shared" si="54"/>
        <v/>
      </c>
      <c r="AS26" s="278" t="str">
        <f t="shared" si="54"/>
        <v/>
      </c>
      <c r="AT26" s="278" t="str">
        <f t="shared" si="54"/>
        <v/>
      </c>
      <c r="AU26" s="278" t="str">
        <f t="shared" si="54"/>
        <v/>
      </c>
      <c r="AV26" s="278" t="str">
        <f t="shared" si="54"/>
        <v/>
      </c>
      <c r="AW26" s="278" t="str">
        <f t="shared" si="55"/>
        <v/>
      </c>
      <c r="AX26" s="278" t="str">
        <f t="shared" si="55"/>
        <v/>
      </c>
      <c r="AY26" s="278" t="str">
        <f t="shared" si="55"/>
        <v/>
      </c>
      <c r="AZ26" s="278" t="str">
        <f t="shared" si="55"/>
        <v/>
      </c>
      <c r="BA26" s="278" t="str">
        <f t="shared" si="55"/>
        <v/>
      </c>
      <c r="BB26" s="278" t="str">
        <f t="shared" si="55"/>
        <v/>
      </c>
      <c r="BC26" s="278" t="str">
        <f t="shared" si="55"/>
        <v/>
      </c>
      <c r="BD26" s="278" t="str">
        <f t="shared" si="55"/>
        <v/>
      </c>
      <c r="BE26" s="278" t="str">
        <f t="shared" si="55"/>
        <v/>
      </c>
      <c r="BF26" s="278" t="str">
        <f t="shared" si="55"/>
        <v/>
      </c>
      <c r="BG26" s="278" t="str">
        <f t="shared" si="55"/>
        <v/>
      </c>
      <c r="BH26" s="442">
        <f t="shared" si="48"/>
        <v>134</v>
      </c>
    </row>
    <row r="27" spans="3:60" ht="21.5" thickBot="1">
      <c r="C27" s="243">
        <f t="shared" si="49"/>
        <v>3.6</v>
      </c>
      <c r="D27" s="310" t="str">
        <f t="shared" si="40"/>
        <v/>
      </c>
      <c r="E27" s="311" t="str">
        <f>IFERROR((((-Tube_OD+SQRT(Tube_OD^2-4*Fabric_Thickness*-K27*1000/PI()))/(2*Fabric_Thickness)+i_pwa)*Fabric_Thickness*2+Tube_OD)*IF(i_Units="Metric",1,INDEX(T_Units[Factor],MATCH("mm",T_Units[Metric],0))),"")</f>
        <v/>
      </c>
      <c r="F27" s="312" t="str">
        <f t="shared" si="41"/>
        <v/>
      </c>
      <c r="G27" s="242">
        <f t="shared" si="42"/>
        <v>142</v>
      </c>
      <c r="J27" s="743"/>
      <c r="K27" s="238">
        <f t="shared" si="50"/>
        <v>3.6</v>
      </c>
      <c r="L27" s="278" t="str">
        <f t="shared" si="52"/>
        <v/>
      </c>
      <c r="M27" s="278" t="str">
        <f t="shared" si="52"/>
        <v/>
      </c>
      <c r="N27" s="278" t="str">
        <f t="shared" si="52"/>
        <v/>
      </c>
      <c r="O27" s="278" t="str">
        <f t="shared" si="52"/>
        <v/>
      </c>
      <c r="P27" s="278" t="str">
        <f t="shared" si="52"/>
        <v/>
      </c>
      <c r="Q27" s="278" t="str">
        <f t="shared" si="52"/>
        <v/>
      </c>
      <c r="R27" s="278" t="str">
        <f t="shared" si="52"/>
        <v/>
      </c>
      <c r="S27" s="278" t="str">
        <f t="shared" si="52"/>
        <v/>
      </c>
      <c r="T27" s="278" t="str">
        <f t="shared" si="52"/>
        <v/>
      </c>
      <c r="U27" s="278" t="str">
        <f t="shared" si="52"/>
        <v/>
      </c>
      <c r="V27" s="278" t="str">
        <f t="shared" si="53"/>
        <v/>
      </c>
      <c r="W27" s="278" t="str">
        <f t="shared" si="53"/>
        <v/>
      </c>
      <c r="X27" s="278" t="str">
        <f t="shared" si="53"/>
        <v/>
      </c>
      <c r="Y27" s="278" t="str">
        <f t="shared" si="53"/>
        <v/>
      </c>
      <c r="Z27" s="278" t="str">
        <f t="shared" si="53"/>
        <v/>
      </c>
      <c r="AA27" s="278" t="str">
        <f t="shared" si="53"/>
        <v/>
      </c>
      <c r="AB27" s="278" t="str">
        <f t="shared" si="53"/>
        <v/>
      </c>
      <c r="AC27" s="278" t="str">
        <f t="shared" si="53"/>
        <v/>
      </c>
      <c r="AD27" s="278" t="str">
        <f t="shared" si="53"/>
        <v/>
      </c>
      <c r="AE27" s="278" t="str">
        <f t="shared" si="53"/>
        <v/>
      </c>
      <c r="AF27" s="278" t="str">
        <f t="shared" si="53"/>
        <v/>
      </c>
      <c r="AG27" s="442">
        <f t="shared" si="45"/>
        <v>142</v>
      </c>
      <c r="AH27" s="539"/>
      <c r="AK27" s="743"/>
      <c r="AL27" s="238">
        <f t="shared" si="51"/>
        <v>3.6</v>
      </c>
      <c r="AM27" s="278" t="str">
        <f t="shared" si="54"/>
        <v/>
      </c>
      <c r="AN27" s="278" t="str">
        <f t="shared" si="54"/>
        <v/>
      </c>
      <c r="AO27" s="278" t="str">
        <f t="shared" si="54"/>
        <v/>
      </c>
      <c r="AP27" s="278" t="str">
        <f t="shared" si="54"/>
        <v/>
      </c>
      <c r="AQ27" s="278" t="str">
        <f t="shared" si="54"/>
        <v/>
      </c>
      <c r="AR27" s="278" t="str">
        <f t="shared" si="54"/>
        <v/>
      </c>
      <c r="AS27" s="278" t="str">
        <f t="shared" si="54"/>
        <v/>
      </c>
      <c r="AT27" s="278" t="str">
        <f t="shared" si="54"/>
        <v/>
      </c>
      <c r="AU27" s="278" t="str">
        <f t="shared" si="54"/>
        <v/>
      </c>
      <c r="AV27" s="278" t="str">
        <f t="shared" si="54"/>
        <v/>
      </c>
      <c r="AW27" s="278" t="str">
        <f t="shared" si="55"/>
        <v/>
      </c>
      <c r="AX27" s="278" t="str">
        <f t="shared" si="55"/>
        <v/>
      </c>
      <c r="AY27" s="278" t="str">
        <f t="shared" si="55"/>
        <v/>
      </c>
      <c r="AZ27" s="278" t="str">
        <f t="shared" si="55"/>
        <v/>
      </c>
      <c r="BA27" s="278" t="str">
        <f t="shared" si="55"/>
        <v/>
      </c>
      <c r="BB27" s="278" t="str">
        <f t="shared" si="55"/>
        <v/>
      </c>
      <c r="BC27" s="278" t="str">
        <f t="shared" si="55"/>
        <v/>
      </c>
      <c r="BD27" s="278" t="str">
        <f t="shared" si="55"/>
        <v/>
      </c>
      <c r="BE27" s="278" t="str">
        <f t="shared" si="55"/>
        <v/>
      </c>
      <c r="BF27" s="278" t="str">
        <f t="shared" si="55"/>
        <v/>
      </c>
      <c r="BG27" s="278" t="str">
        <f t="shared" si="55"/>
        <v/>
      </c>
      <c r="BH27" s="442">
        <f t="shared" si="48"/>
        <v>142</v>
      </c>
    </row>
    <row r="28" spans="3:60" ht="25">
      <c r="L28" s="237">
        <f>ROUNDUP(L$11/0.0254,0)</f>
        <v>24</v>
      </c>
      <c r="M28" s="237">
        <f t="shared" ref="M28:AF28" si="56">ROUNDUP(M$11/0.0254,0)</f>
        <v>32</v>
      </c>
      <c r="N28" s="237">
        <f t="shared" si="56"/>
        <v>40</v>
      </c>
      <c r="O28" s="237">
        <f t="shared" si="56"/>
        <v>48</v>
      </c>
      <c r="P28" s="237">
        <f t="shared" si="56"/>
        <v>56</v>
      </c>
      <c r="Q28" s="237">
        <f t="shared" si="56"/>
        <v>63</v>
      </c>
      <c r="R28" s="237">
        <f t="shared" si="56"/>
        <v>71</v>
      </c>
      <c r="S28" s="237">
        <f t="shared" si="56"/>
        <v>79</v>
      </c>
      <c r="T28" s="237">
        <f t="shared" si="56"/>
        <v>87</v>
      </c>
      <c r="U28" s="237">
        <f t="shared" si="56"/>
        <v>95</v>
      </c>
      <c r="V28" s="237">
        <f t="shared" si="56"/>
        <v>103</v>
      </c>
      <c r="W28" s="237">
        <f t="shared" si="56"/>
        <v>111</v>
      </c>
      <c r="X28" s="237">
        <f t="shared" si="56"/>
        <v>119</v>
      </c>
      <c r="Y28" s="237">
        <f t="shared" si="56"/>
        <v>126</v>
      </c>
      <c r="Z28" s="237">
        <f t="shared" si="56"/>
        <v>134</v>
      </c>
      <c r="AA28" s="237">
        <f t="shared" si="56"/>
        <v>142</v>
      </c>
      <c r="AB28" s="237">
        <f t="shared" si="56"/>
        <v>150</v>
      </c>
      <c r="AC28" s="237">
        <f t="shared" si="56"/>
        <v>158</v>
      </c>
      <c r="AD28" s="237">
        <f t="shared" si="56"/>
        <v>166</v>
      </c>
      <c r="AE28" s="237">
        <f t="shared" si="56"/>
        <v>174</v>
      </c>
      <c r="AF28" s="237">
        <f t="shared" si="56"/>
        <v>182</v>
      </c>
      <c r="AG28" s="307" t="s">
        <v>228</v>
      </c>
      <c r="AH28" s="307"/>
      <c r="AM28" s="237">
        <f>ROUNDUP(AM$11/0.0254,0)</f>
        <v>24</v>
      </c>
      <c r="AN28" s="237">
        <f t="shared" ref="AN28:BG28" si="57">ROUNDUP(AN$11/0.0254,0)</f>
        <v>32</v>
      </c>
      <c r="AO28" s="237">
        <f t="shared" si="57"/>
        <v>40</v>
      </c>
      <c r="AP28" s="237">
        <f t="shared" si="57"/>
        <v>48</v>
      </c>
      <c r="AQ28" s="237">
        <f t="shared" si="57"/>
        <v>56</v>
      </c>
      <c r="AR28" s="237">
        <f t="shared" si="57"/>
        <v>63</v>
      </c>
      <c r="AS28" s="237">
        <f t="shared" si="57"/>
        <v>71</v>
      </c>
      <c r="AT28" s="237">
        <f t="shared" si="57"/>
        <v>79</v>
      </c>
      <c r="AU28" s="237">
        <f t="shared" si="57"/>
        <v>87</v>
      </c>
      <c r="AV28" s="237">
        <f t="shared" si="57"/>
        <v>95</v>
      </c>
      <c r="AW28" s="237">
        <f t="shared" si="57"/>
        <v>103</v>
      </c>
      <c r="AX28" s="237">
        <f t="shared" si="57"/>
        <v>111</v>
      </c>
      <c r="AY28" s="237">
        <f t="shared" si="57"/>
        <v>119</v>
      </c>
      <c r="AZ28" s="237">
        <f t="shared" si="57"/>
        <v>126</v>
      </c>
      <c r="BA28" s="237">
        <f t="shared" si="57"/>
        <v>134</v>
      </c>
      <c r="BB28" s="237">
        <f t="shared" si="57"/>
        <v>142</v>
      </c>
      <c r="BC28" s="237">
        <f t="shared" si="57"/>
        <v>150</v>
      </c>
      <c r="BD28" s="237">
        <f t="shared" si="57"/>
        <v>158</v>
      </c>
      <c r="BE28" s="237">
        <f t="shared" si="57"/>
        <v>166</v>
      </c>
      <c r="BF28" s="237">
        <f t="shared" si="57"/>
        <v>174</v>
      </c>
      <c r="BG28" s="237">
        <f t="shared" si="57"/>
        <v>182</v>
      </c>
      <c r="BH28" s="307" t="s">
        <v>228</v>
      </c>
    </row>
    <row r="29" spans="3:60" ht="21" customHeight="1"/>
    <row r="30" spans="3:60" ht="21" customHeight="1">
      <c r="L30" s="342"/>
      <c r="M30" s="342"/>
      <c r="O30" s="392" t="str">
        <f>z_ChartNote1</f>
        <v>Allowable tube deflection &amp; within control capacity</v>
      </c>
      <c r="AM30" s="343"/>
      <c r="AN30" s="343"/>
      <c r="AP30" s="392" t="str">
        <f>z_ChartNote3</f>
        <v>Control Capacity Only (excluding tube deflection, user effort &amp; other factors)</v>
      </c>
    </row>
    <row r="31" spans="3:60" ht="9.75" customHeight="1">
      <c r="O31" s="392"/>
      <c r="AP31" s="392"/>
    </row>
    <row r="32" spans="3:60" ht="21" customHeight="1">
      <c r="L32" s="344"/>
      <c r="M32" s="344"/>
      <c r="O32" s="392" t="str">
        <f>z_ChartNote2</f>
        <v>Allowable tube deflection outside of control capacity</v>
      </c>
      <c r="AM32" s="345"/>
      <c r="AN32" s="345"/>
      <c r="AP32" s="392" t="str">
        <f>z_ChartNote4</f>
        <v>Control Capacity with spring assist (if selected)</v>
      </c>
    </row>
    <row r="33" spans="19:42" ht="21" customHeight="1">
      <c r="S33" s="113"/>
      <c r="AP33" s="346"/>
    </row>
    <row r="34" spans="19:42">
      <c r="AP34" s="346"/>
    </row>
  </sheetData>
  <sheetProtection algorithmName="SHA-512" hashValue="jMJYIZ70FEN33SdtMtQSBMY9yd6XAHEzpXYljhUAQogwRPcNTbiwQ1An/uReGOxSilXS85nf55vDJVr9ak/Jbg==" saltValue="nZAZB1DjIUUKGlb6jhLVfw==" spinCount="100000" sheet="1" objects="1" scenarios="1" selectLockedCells="1"/>
  <dataConsolidate/>
  <mergeCells count="16">
    <mergeCell ref="C3:F3"/>
    <mergeCell ref="AK12:AK27"/>
    <mergeCell ref="J12:J27"/>
    <mergeCell ref="D10:D11"/>
    <mergeCell ref="F10:F11"/>
    <mergeCell ref="E10:E11"/>
    <mergeCell ref="K10:AG10"/>
    <mergeCell ref="O3:S4"/>
    <mergeCell ref="AL10:BH10"/>
    <mergeCell ref="L3:N4"/>
    <mergeCell ref="L5:N5"/>
    <mergeCell ref="L6:N6"/>
    <mergeCell ref="L7:N7"/>
    <mergeCell ref="L8:N8"/>
    <mergeCell ref="AM9:BG9"/>
    <mergeCell ref="L9:AF9"/>
  </mergeCells>
  <conditionalFormatting sqref="F10:F27">
    <cfRule type="expression" dxfId="143" priority="12">
      <formula>IF(Control_Type="Clutch",TRUE(),FALSE())</formula>
    </cfRule>
  </conditionalFormatting>
  <conditionalFormatting sqref="AM12:BG27">
    <cfRule type="expression" dxfId="142" priority="4">
      <formula>IF(OR(i_Control="",i_Tube="",i_wb="",i_Fabric="",i_Control=z_NoOptions),TRUE(),FALSE())</formula>
    </cfRule>
    <cfRule type="expression" dxfId="141" priority="5">
      <formula>AM12=1</formula>
    </cfRule>
    <cfRule type="expression" dxfId="140" priority="6">
      <formula>AM12=2</formula>
    </cfRule>
    <cfRule type="expression" dxfId="139" priority="7">
      <formula>AM12=3</formula>
    </cfRule>
  </conditionalFormatting>
  <conditionalFormatting sqref="E12:E27">
    <cfRule type="expression" dxfId="138" priority="1">
      <formula>i_Units="Metric"</formula>
    </cfRule>
    <cfRule type="expression" dxfId="137" priority="2">
      <formula>i_Units="Imperial"</formula>
    </cfRule>
  </conditionalFormatting>
  <conditionalFormatting sqref="L12:AF27">
    <cfRule type="expression" dxfId="136" priority="2964">
      <formula>IF(AND(AM12&lt;=2,L12&lt;=L$11/(1/Deflection_limit)),TRUE(),FALSE())</formula>
    </cfRule>
    <cfRule type="expression" dxfId="135" priority="2965">
      <formula>L12&lt;=L$11/(1/Deflection_Limit2)</formula>
    </cfRule>
    <cfRule type="expression" dxfId="134" priority="2966">
      <formula>L12&gt;L$11/(1/IF(Deflection_Limit2&lt;&gt;"",Deflection_Limit2,Deflection_limit))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1933-2565-4B9D-8A89-BC0B97AD606D}">
  <sheetPr codeName="Sheet8">
    <tabColor rgb="FFF5FAFD"/>
  </sheetPr>
  <dimension ref="A1:U50"/>
  <sheetViews>
    <sheetView showGridLines="0" showRowColHeaders="0" showRuler="0" workbookViewId="0">
      <selection activeCell="N26" sqref="N26"/>
    </sheetView>
  </sheetViews>
  <sheetFormatPr defaultColWidth="0" defaultRowHeight="14.5" zeroHeight="1"/>
  <cols>
    <col min="1" max="1" width="6.453125" customWidth="1"/>
    <col min="2" max="2" width="23.54296875" customWidth="1"/>
    <col min="3" max="3" width="12.453125" bestFit="1" customWidth="1"/>
    <col min="4" max="4" width="11.54296875" style="1" bestFit="1" customWidth="1"/>
    <col min="5" max="5" width="9.1796875" style="1" hidden="1" customWidth="1"/>
    <col min="6" max="6" width="4.54296875" customWidth="1"/>
    <col min="7" max="7" width="27.54296875" customWidth="1"/>
    <col min="8" max="8" width="12.453125" style="1" bestFit="1" customWidth="1"/>
    <col min="9" max="9" width="11.54296875" style="1" bestFit="1" customWidth="1"/>
    <col min="10" max="10" width="9.1796875" style="1" hidden="1" customWidth="1"/>
    <col min="11" max="11" width="4.54296875" customWidth="1"/>
    <col min="12" max="12" width="27.453125" customWidth="1"/>
    <col min="13" max="13" width="12.453125" style="1" bestFit="1" customWidth="1"/>
    <col min="14" max="14" width="11.54296875" style="1" customWidth="1"/>
    <col min="15" max="15" width="9.1796875" style="1" hidden="1" customWidth="1"/>
    <col min="16" max="16" width="4.54296875" customWidth="1"/>
    <col min="17" max="17" width="43.81640625" customWidth="1"/>
    <col min="18" max="18" width="12.453125" style="1" bestFit="1" customWidth="1"/>
    <col min="19" max="19" width="11.54296875" style="1" bestFit="1" customWidth="1"/>
    <col min="20" max="20" width="9.1796875" style="1" hidden="1" customWidth="1"/>
    <col min="21" max="21" width="9.1796875" customWidth="1"/>
    <col min="22" max="16384" width="9.1796875" hidden="1"/>
  </cols>
  <sheetData>
    <row r="1" spans="2:20">
      <c r="E1" s="114" t="s">
        <v>236</v>
      </c>
      <c r="J1" s="114" t="s">
        <v>236</v>
      </c>
      <c r="O1" s="114" t="s">
        <v>236</v>
      </c>
      <c r="T1" s="114" t="s">
        <v>236</v>
      </c>
    </row>
    <row r="2" spans="2:20" ht="15.5">
      <c r="B2" s="537" t="str">
        <f>z_ProductOptionsText1</f>
        <v>Put an 'X' in the hide column to remove from dropdown options.</v>
      </c>
      <c r="C2" s="190"/>
      <c r="D2" s="26"/>
    </row>
    <row r="3" spans="2:20" ht="15.5">
      <c r="B3" s="537" t="s">
        <v>1072</v>
      </c>
      <c r="C3" s="190"/>
      <c r="D3" s="26"/>
    </row>
    <row r="4" spans="2:20"/>
    <row r="5" spans="2:20">
      <c r="B5" s="371" t="str">
        <f>z_Tube</f>
        <v>Tube</v>
      </c>
      <c r="C5" s="372" t="str">
        <f>z_Show</f>
        <v>Show</v>
      </c>
      <c r="D5" s="372" t="str">
        <f>z_Hide</f>
        <v>Hide</v>
      </c>
      <c r="E5" s="116"/>
      <c r="G5" s="371" t="str">
        <f>z_WeightBar</f>
        <v>Weight Bar</v>
      </c>
      <c r="H5" s="372" t="str">
        <f>z_Show</f>
        <v>Show</v>
      </c>
      <c r="I5" s="372" t="str">
        <f>z_Hide</f>
        <v>Hide</v>
      </c>
      <c r="J5" s="259"/>
      <c r="L5" s="371" t="str">
        <f>z_Control</f>
        <v>Control</v>
      </c>
      <c r="M5" s="372" t="str">
        <f>z_Show</f>
        <v>Show</v>
      </c>
      <c r="N5" s="372" t="str">
        <f>z_Hide</f>
        <v>Hide</v>
      </c>
      <c r="O5" s="259"/>
      <c r="Q5" s="371" t="str" cm="1">
        <f t="array" ref="Q5">z_TopHardware</f>
        <v>Top Hardware</v>
      </c>
      <c r="R5" s="372" t="str">
        <f>z_Show</f>
        <v>Show</v>
      </c>
      <c r="S5" s="372" t="str">
        <f>z_Hide</f>
        <v>Hide</v>
      </c>
      <c r="T5" s="259"/>
    </row>
    <row r="6" spans="2:20">
      <c r="B6" s="10" t="str" cm="1">
        <f t="array" ref="B6:B29">T_Tubes[Description]</f>
        <v>1"</v>
      </c>
      <c r="C6" s="435" t="str">
        <f>IF(D6&lt;&gt;"","","X")</f>
        <v>X</v>
      </c>
      <c r="D6" s="321"/>
      <c r="E6" s="256" t="str">
        <f>IF(D6&lt;&gt;"","Hide","Show")</f>
        <v>Show</v>
      </c>
      <c r="G6" s="10" t="str" cm="1">
        <f t="array" ref="G6:G17">T_WeightBars[Description]</f>
        <v>_Custom Weight Bar Data</v>
      </c>
      <c r="H6" s="435" t="str">
        <f>IF(I6&lt;&gt;"","","X")</f>
        <v>X</v>
      </c>
      <c r="I6" s="329"/>
      <c r="J6" s="11" t="str">
        <f>IF(I6&lt;&gt;"","Hide","Show")</f>
        <v>Show</v>
      </c>
      <c r="L6" s="10" t="str" cm="1">
        <f t="array" ref="L6:L35">T_Controls[Description]</f>
        <v>G200</v>
      </c>
      <c r="M6" s="435" t="str">
        <f>IF(N6&lt;&gt;"","","X")</f>
        <v>X</v>
      </c>
      <c r="N6" s="321"/>
      <c r="O6" s="11" t="str">
        <f>IF(N6&lt;&gt;"","Hide","Show")</f>
        <v>Show</v>
      </c>
      <c r="Q6" s="10" t="str" cm="1">
        <f t="array" ref="Q6:Q49">T_Brackets[Description]</f>
        <v>SLxx650xx Skyline Bracket | 32mm | 1-1/4"</v>
      </c>
      <c r="R6" s="434" t="str">
        <f t="shared" ref="R6:R10" si="0">IF(S6&lt;&gt;"","","X")</f>
        <v>X</v>
      </c>
      <c r="S6" s="321"/>
      <c r="T6" s="11" t="str">
        <f>IF(S6&lt;&gt;"","Hide","Show")</f>
        <v>Show</v>
      </c>
    </row>
    <row r="7" spans="2:20">
      <c r="B7" s="14" t="str">
        <v>1-1/8"</v>
      </c>
      <c r="C7" s="434" t="str">
        <f t="shared" ref="C7:C29" si="1">IF(D7&lt;&gt;"","","X")</f>
        <v>X</v>
      </c>
      <c r="D7" s="322"/>
      <c r="E7" s="660" t="str">
        <f t="shared" ref="E7:E29" si="2">IF(D7&lt;&gt;"","Hide","Show")</f>
        <v>Show</v>
      </c>
      <c r="G7" s="14" t="str">
        <v>Internal Hem Bar</v>
      </c>
      <c r="H7" s="434" t="str">
        <f t="shared" ref="H7:H16" si="3">IF(I7&lt;&gt;"","","X")</f>
        <v>X</v>
      </c>
      <c r="I7" s="322"/>
      <c r="J7" s="15" t="str">
        <f t="shared" ref="J7:J16" si="4">IF(I7&lt;&gt;"","Hide","Show")</f>
        <v>Show</v>
      </c>
      <c r="L7" s="14" t="str">
        <v>G400</v>
      </c>
      <c r="M7" s="434" t="str">
        <f t="shared" ref="M7:M30" si="5">IF(N7&lt;&gt;"","","X")</f>
        <v>X</v>
      </c>
      <c r="N7" s="322"/>
      <c r="O7" s="15" t="str">
        <f t="shared" ref="O7:O34" si="6">IF(N7&lt;&gt;"","Hide","Show")</f>
        <v>Show</v>
      </c>
      <c r="Q7" s="14" t="str">
        <v>SLxx660xx Skyline Bracket | 38mm | 1-1/2"</v>
      </c>
      <c r="R7" s="434" t="str">
        <f t="shared" si="0"/>
        <v>X</v>
      </c>
      <c r="S7" s="322"/>
      <c r="T7" s="15" t="str">
        <f t="shared" ref="T7:T46" si="7">IF(S7&lt;&gt;"","Hide","Show")</f>
        <v>Show</v>
      </c>
    </row>
    <row r="8" spans="2:20">
      <c r="B8" s="14" t="str">
        <v>1-1/4"</v>
      </c>
      <c r="C8" s="434" t="str">
        <f t="shared" si="1"/>
        <v>X</v>
      </c>
      <c r="D8" s="322"/>
      <c r="E8" s="660" t="str">
        <f t="shared" si="2"/>
        <v>Show</v>
      </c>
      <c r="G8" s="14" t="str">
        <v>External Hem Bar</v>
      </c>
      <c r="H8" s="434" t="str">
        <f t="shared" si="3"/>
        <v>X</v>
      </c>
      <c r="I8" s="322"/>
      <c r="J8" s="15" t="str">
        <f t="shared" si="4"/>
        <v>Show</v>
      </c>
      <c r="L8" s="14" t="str">
        <v>R8</v>
      </c>
      <c r="M8" s="434" t="str">
        <f t="shared" si="5"/>
        <v>X</v>
      </c>
      <c r="N8" s="322"/>
      <c r="O8" s="15" t="str">
        <f t="shared" si="6"/>
        <v>Show</v>
      </c>
      <c r="Q8" s="14" t="str">
        <v>SLxx680xx Skyline Bracket | 50mm | 2"</v>
      </c>
      <c r="R8" s="434" t="str">
        <f t="shared" si="0"/>
        <v>X</v>
      </c>
      <c r="S8" s="322"/>
      <c r="T8" s="15" t="str">
        <f t="shared" si="7"/>
        <v>Show</v>
      </c>
    </row>
    <row r="9" spans="2:20">
      <c r="B9" s="14" t="str">
        <v>1-1/2"</v>
      </c>
      <c r="C9" s="434" t="str">
        <f t="shared" si="1"/>
        <v>X</v>
      </c>
      <c r="D9" s="322"/>
      <c r="E9" s="660" t="str">
        <f t="shared" si="2"/>
        <v>Show</v>
      </c>
      <c r="G9" s="14" t="str">
        <v>Opulence Hem Bar</v>
      </c>
      <c r="H9" s="434" t="str">
        <f t="shared" si="3"/>
        <v>X</v>
      </c>
      <c r="I9" s="322"/>
      <c r="J9" s="15" t="str">
        <f t="shared" si="4"/>
        <v>Show</v>
      </c>
      <c r="L9" s="14" t="str">
        <v>R16</v>
      </c>
      <c r="M9" s="434" t="str">
        <f t="shared" si="5"/>
        <v>X</v>
      </c>
      <c r="N9" s="322"/>
      <c r="O9" s="15" t="str">
        <f t="shared" si="6"/>
        <v>Show</v>
      </c>
      <c r="Q9" s="14" t="str">
        <v>SLxx690xx Skyline Bracket | 73mm | 2-1/2"</v>
      </c>
      <c r="R9" s="434" t="str">
        <f t="shared" si="0"/>
        <v>X</v>
      </c>
      <c r="S9" s="322"/>
      <c r="T9" s="15" t="str">
        <f t="shared" si="7"/>
        <v>Show</v>
      </c>
    </row>
    <row r="10" spans="2:20">
      <c r="B10" s="14" t="str">
        <v>1-1/2" Switch</v>
      </c>
      <c r="C10" s="434" t="str">
        <f t="shared" si="1"/>
        <v>X</v>
      </c>
      <c r="D10" s="322"/>
      <c r="E10" s="660" t="str">
        <f t="shared" si="2"/>
        <v>Show</v>
      </c>
      <c r="G10" s="14" t="str">
        <v>Flat Bottom Rail</v>
      </c>
      <c r="H10" s="434" t="str">
        <f t="shared" si="3"/>
        <v>X</v>
      </c>
      <c r="I10" s="322"/>
      <c r="J10" s="15" t="str">
        <f t="shared" si="4"/>
        <v>Show</v>
      </c>
      <c r="L10" s="14" t="str">
        <v>R24</v>
      </c>
      <c r="M10" s="434" t="str">
        <f t="shared" si="5"/>
        <v>X</v>
      </c>
      <c r="N10" s="322"/>
      <c r="O10" s="15" t="str">
        <f t="shared" si="6"/>
        <v>Show</v>
      </c>
      <c r="Q10" s="14" t="str">
        <v>RB360 | 1-1/2""</v>
      </c>
      <c r="R10" s="434" t="str">
        <f t="shared" si="0"/>
        <v>X</v>
      </c>
      <c r="S10" s="322"/>
      <c r="T10" s="15" t="str">
        <f t="shared" si="7"/>
        <v>Show</v>
      </c>
    </row>
    <row r="11" spans="2:20">
      <c r="B11" s="14" t="str">
        <v>2"</v>
      </c>
      <c r="C11" s="434" t="str">
        <f t="shared" si="1"/>
        <v>X</v>
      </c>
      <c r="D11" s="322"/>
      <c r="E11" s="660" t="str">
        <f t="shared" si="2"/>
        <v>Show</v>
      </c>
      <c r="G11" s="14" t="str">
        <v>Round Bottom Rail</v>
      </c>
      <c r="H11" s="434" t="str">
        <f t="shared" si="3"/>
        <v>X</v>
      </c>
      <c r="I11" s="322"/>
      <c r="J11" s="15" t="str">
        <f t="shared" si="4"/>
        <v>Show</v>
      </c>
      <c r="L11" s="14" t="str">
        <v>RB08 | S35</v>
      </c>
      <c r="M11" s="434" t="str">
        <f t="shared" si="5"/>
        <v>X</v>
      </c>
      <c r="N11" s="322"/>
      <c r="O11" s="15" t="str">
        <f t="shared" si="6"/>
        <v>Show</v>
      </c>
      <c r="Q11" s="14" t="str">
        <v>RB380 | 2"</v>
      </c>
      <c r="R11" s="434" t="str">
        <f t="shared" ref="R11:R26" si="8">IF(S11&lt;&gt;"","","X")</f>
        <v>X</v>
      </c>
      <c r="S11" s="322"/>
      <c r="T11" s="15" t="str">
        <f t="shared" si="7"/>
        <v>Show</v>
      </c>
    </row>
    <row r="12" spans="2:20">
      <c r="B12" s="14" t="str">
        <v>2-1/2"</v>
      </c>
      <c r="C12" s="434" t="str">
        <f t="shared" si="1"/>
        <v>X</v>
      </c>
      <c r="D12" s="322"/>
      <c r="E12" s="660" t="str">
        <f t="shared" si="2"/>
        <v>Show</v>
      </c>
      <c r="G12" s="14" t="str">
        <v>Oval Bottom Rail</v>
      </c>
      <c r="H12" s="434" t="str">
        <f t="shared" si="3"/>
        <v>X</v>
      </c>
      <c r="I12" s="322"/>
      <c r="J12" s="15" t="str">
        <f t="shared" si="4"/>
        <v>Show</v>
      </c>
      <c r="L12" s="14" t="str">
        <v>RB07 | S40 &amp; S45</v>
      </c>
      <c r="M12" s="434" t="str">
        <f t="shared" si="5"/>
        <v>X</v>
      </c>
      <c r="N12" s="322"/>
      <c r="O12" s="15" t="str">
        <f t="shared" si="6"/>
        <v>Show</v>
      </c>
      <c r="Q12" s="14" t="str">
        <v>RB390 | 2-7/8"</v>
      </c>
      <c r="R12" s="434" t="str">
        <f t="shared" si="8"/>
        <v>X</v>
      </c>
      <c r="S12" s="322"/>
      <c r="T12" s="15" t="str">
        <f t="shared" si="7"/>
        <v>Show</v>
      </c>
    </row>
    <row r="13" spans="2:20">
      <c r="B13" s="14" t="str">
        <v>3-1/4"</v>
      </c>
      <c r="C13" s="434" t="str">
        <f t="shared" si="1"/>
        <v>X</v>
      </c>
      <c r="D13" s="322"/>
      <c r="E13" s="660" t="str">
        <f t="shared" si="2"/>
        <v>Show</v>
      </c>
      <c r="G13" s="14" t="str">
        <v>D30 Medium Bottom Rail</v>
      </c>
      <c r="H13" s="434" t="str">
        <f t="shared" si="3"/>
        <v>X</v>
      </c>
      <c r="I13" s="322"/>
      <c r="J13" s="15" t="str">
        <f t="shared" si="4"/>
        <v>Show</v>
      </c>
      <c r="L13" s="14" t="str">
        <v>RB08 | S40 &amp; S45</v>
      </c>
      <c r="M13" s="434" t="str">
        <f t="shared" si="5"/>
        <v>X</v>
      </c>
      <c r="N13" s="322"/>
      <c r="O13" s="15" t="str">
        <f t="shared" si="6"/>
        <v>Show</v>
      </c>
      <c r="Q13" s="14" t="str">
        <v>RB560 | 1-1/2"</v>
      </c>
      <c r="R13" s="434" t="str">
        <f t="shared" si="8"/>
        <v>X</v>
      </c>
      <c r="S13" s="322"/>
      <c r="T13" s="15" t="str">
        <f t="shared" si="7"/>
        <v>Show</v>
      </c>
    </row>
    <row r="14" spans="2:20">
      <c r="B14" s="14" t="str">
        <v>S35 STD</v>
      </c>
      <c r="C14" s="434" t="str">
        <f t="shared" si="1"/>
        <v>X</v>
      </c>
      <c r="D14" s="322"/>
      <c r="E14" s="660" t="str">
        <f t="shared" si="2"/>
        <v>Show</v>
      </c>
      <c r="G14" s="14" t="str">
        <v>Bottom Up Weight Bar</v>
      </c>
      <c r="H14" s="434" t="str">
        <f t="shared" si="3"/>
        <v>X</v>
      </c>
      <c r="I14" s="322"/>
      <c r="J14" s="15" t="str">
        <f t="shared" si="4"/>
        <v>Show</v>
      </c>
      <c r="L14" s="14" t="str">
        <v>RB09 | S45</v>
      </c>
      <c r="M14" s="434" t="str">
        <f t="shared" si="5"/>
        <v>X</v>
      </c>
      <c r="N14" s="322"/>
      <c r="O14" s="15" t="str">
        <f t="shared" si="6"/>
        <v>Show</v>
      </c>
      <c r="Q14" s="14" t="str">
        <v>RB580 | 2"</v>
      </c>
      <c r="R14" s="434" t="str">
        <f t="shared" si="8"/>
        <v>X</v>
      </c>
      <c r="S14" s="322"/>
      <c r="T14" s="15" t="str">
        <f t="shared" si="7"/>
        <v>Show</v>
      </c>
    </row>
    <row r="15" spans="2:20">
      <c r="B15" s="14" t="str">
        <v>S35 HD</v>
      </c>
      <c r="C15" s="434" t="str">
        <f t="shared" si="1"/>
        <v>X</v>
      </c>
      <c r="D15" s="322"/>
      <c r="E15" s="660" t="str">
        <f t="shared" si="2"/>
        <v>Show</v>
      </c>
      <c r="G15" s="14" t="str">
        <v>F4115 Heavy Duty Bottom Rail</v>
      </c>
      <c r="H15" s="434" t="str">
        <f t="shared" si="3"/>
        <v>X</v>
      </c>
      <c r="I15" s="322"/>
      <c r="J15" s="15" t="str">
        <f t="shared" si="4"/>
        <v>Show</v>
      </c>
      <c r="L15" s="14" t="str">
        <v>RB09 w/ Guide | S45</v>
      </c>
      <c r="M15" s="434" t="str">
        <f t="shared" si="5"/>
        <v>X</v>
      </c>
      <c r="N15" s="322"/>
      <c r="O15" s="15" t="str">
        <f t="shared" si="6"/>
        <v>Show</v>
      </c>
      <c r="Q15" s="14" t="str">
        <v>RB590 | 2-7/8"</v>
      </c>
      <c r="R15" s="434" t="str">
        <f t="shared" si="8"/>
        <v>X</v>
      </c>
      <c r="S15" s="322"/>
      <c r="T15" s="15" t="str">
        <f t="shared" si="7"/>
        <v>Show</v>
      </c>
    </row>
    <row r="16" spans="2:20">
      <c r="B16" s="14" t="str">
        <v>S40 STD</v>
      </c>
      <c r="C16" s="434" t="str">
        <f t="shared" si="1"/>
        <v>X</v>
      </c>
      <c r="D16" s="322"/>
      <c r="E16" s="660" t="str">
        <f t="shared" si="2"/>
        <v>Show</v>
      </c>
      <c r="G16" s="14" t="str">
        <v>F56 HD Weight Bar</v>
      </c>
      <c r="H16" s="434" t="str">
        <f t="shared" si="3"/>
        <v>X</v>
      </c>
      <c r="I16" s="322"/>
      <c r="J16" s="304" t="str">
        <f t="shared" si="4"/>
        <v>Show</v>
      </c>
      <c r="L16" s="14" t="str">
        <v>RB09 Geared | S45</v>
      </c>
      <c r="M16" s="434" t="str">
        <f t="shared" si="5"/>
        <v>X</v>
      </c>
      <c r="N16" s="322"/>
      <c r="O16" s="15" t="str">
        <f t="shared" si="6"/>
        <v>Show</v>
      </c>
      <c r="Q16" s="14" t="str">
        <v xml:space="preserve">RBGAL </v>
      </c>
      <c r="R16" s="434" t="str">
        <f t="shared" si="8"/>
        <v>X</v>
      </c>
      <c r="S16" s="322"/>
      <c r="T16" s="15" t="str">
        <f t="shared" si="7"/>
        <v>Show</v>
      </c>
    </row>
    <row r="17" spans="2:20">
      <c r="B17" s="14" t="str">
        <v>S40 HD</v>
      </c>
      <c r="C17" s="434" t="str">
        <f t="shared" si="1"/>
        <v>X</v>
      </c>
      <c r="D17" s="322"/>
      <c r="E17" s="660" t="str">
        <f t="shared" si="2"/>
        <v>Show</v>
      </c>
      <c r="G17" s="303" t="str">
        <v>F72 HD Weight Bar</v>
      </c>
      <c r="H17" s="436" t="str">
        <f t="shared" ref="H17" si="9">IF(I17&lt;&gt;"","","X")</f>
        <v>X</v>
      </c>
      <c r="I17" s="323"/>
      <c r="J17" s="304" t="str">
        <f t="shared" ref="J17:J18" si="10">IF(I17&lt;&gt;"","Hide","Show")</f>
        <v>Show</v>
      </c>
      <c r="L17" s="14" t="str">
        <v>RB09 Geared w/ Guide | S45</v>
      </c>
      <c r="M17" s="434" t="str">
        <f t="shared" si="5"/>
        <v>X</v>
      </c>
      <c r="N17" s="322"/>
      <c r="O17" s="15" t="str">
        <f t="shared" si="6"/>
        <v>Show</v>
      </c>
      <c r="Q17" s="14" t="str">
        <v>LX Bracket 30mm | S35</v>
      </c>
      <c r="R17" s="434" t="str">
        <f t="shared" si="8"/>
        <v>X</v>
      </c>
      <c r="S17" s="322"/>
      <c r="T17" s="15" t="str">
        <f t="shared" si="7"/>
        <v>Show</v>
      </c>
    </row>
    <row r="18" spans="2:20">
      <c r="B18" s="14" t="str">
        <v>S45 | LIGHT</v>
      </c>
      <c r="C18" s="434" t="str">
        <f t="shared" si="1"/>
        <v>X</v>
      </c>
      <c r="D18" s="322"/>
      <c r="E18" s="660" t="str">
        <f t="shared" si="2"/>
        <v>Show</v>
      </c>
      <c r="H18" s="689"/>
      <c r="I18" s="690"/>
      <c r="J18" s="661" t="str">
        <f t="shared" si="10"/>
        <v>Show</v>
      </c>
      <c r="L18" s="14" t="str">
        <v>RB10 | S60</v>
      </c>
      <c r="M18" s="434" t="str">
        <f t="shared" si="5"/>
        <v>X</v>
      </c>
      <c r="N18" s="322"/>
      <c r="O18" s="15" t="str">
        <f t="shared" si="6"/>
        <v>Show</v>
      </c>
      <c r="Q18" s="14" t="str">
        <v>LX/VX/AX Bracket 40mm Proj.</v>
      </c>
      <c r="R18" s="434" t="str">
        <f t="shared" si="8"/>
        <v>X</v>
      </c>
      <c r="S18" s="322"/>
      <c r="T18" s="15" t="str">
        <f t="shared" si="7"/>
        <v>Show</v>
      </c>
    </row>
    <row r="19" spans="2:20">
      <c r="B19" s="14" t="str">
        <v>S45 | STD</v>
      </c>
      <c r="C19" s="434" t="str">
        <f t="shared" si="1"/>
        <v>X</v>
      </c>
      <c r="D19" s="322"/>
      <c r="E19" s="660" t="str">
        <f t="shared" si="2"/>
        <v>Show</v>
      </c>
      <c r="L19" s="14" t="str">
        <v>RB09 w/ Guide | 1-1/2"</v>
      </c>
      <c r="M19" s="434" t="str">
        <f t="shared" si="5"/>
        <v>X</v>
      </c>
      <c r="N19" s="322"/>
      <c r="O19" s="15" t="str">
        <f t="shared" si="6"/>
        <v>Show</v>
      </c>
      <c r="Q19" s="14" t="str">
        <v>LX/VX/AX Bracket 55mm Proj.</v>
      </c>
      <c r="R19" s="434" t="str">
        <f t="shared" si="8"/>
        <v>X</v>
      </c>
      <c r="S19" s="322"/>
      <c r="T19" s="15" t="str">
        <f t="shared" si="7"/>
        <v>Show</v>
      </c>
    </row>
    <row r="20" spans="2:20">
      <c r="B20" s="14" t="str">
        <v>S45 | HD</v>
      </c>
      <c r="C20" s="434" t="str">
        <f t="shared" si="1"/>
        <v>X</v>
      </c>
      <c r="D20" s="322"/>
      <c r="E20" s="660" t="str">
        <f t="shared" si="2"/>
        <v>Show</v>
      </c>
      <c r="L20" s="14" t="str">
        <v>SL10</v>
      </c>
      <c r="M20" s="434" t="str">
        <f t="shared" si="5"/>
        <v>X</v>
      </c>
      <c r="N20" s="322"/>
      <c r="O20" s="15" t="str">
        <f t="shared" si="6"/>
        <v>Show</v>
      </c>
      <c r="Q20" s="14" t="str">
        <v>Slimline-X Double Easy-Lock Bracket | S40/S45</v>
      </c>
      <c r="R20" s="434" t="str">
        <f t="shared" si="8"/>
        <v>X</v>
      </c>
      <c r="S20" s="322"/>
      <c r="T20" s="15" t="str">
        <f t="shared" si="7"/>
        <v>Show</v>
      </c>
    </row>
    <row r="21" spans="2:20">
      <c r="B21" s="14" t="str">
        <v>S60 | 60 STD</v>
      </c>
      <c r="C21" s="434" t="str">
        <f t="shared" si="1"/>
        <v>X</v>
      </c>
      <c r="D21" s="322"/>
      <c r="E21" s="660" t="str">
        <f t="shared" si="2"/>
        <v>Show</v>
      </c>
      <c r="L21" s="14" t="str">
        <v>SL15</v>
      </c>
      <c r="M21" s="434" t="str">
        <f t="shared" si="5"/>
        <v>X</v>
      </c>
      <c r="N21" s="322"/>
      <c r="O21" s="15" t="str">
        <f t="shared" si="6"/>
        <v>Show</v>
      </c>
      <c r="Q21" s="14" t="str">
        <v>Square-X Double Easy-Lock Bracket | S40/S45</v>
      </c>
      <c r="R21" s="434" t="str">
        <f t="shared" si="8"/>
        <v>X</v>
      </c>
      <c r="S21" s="322"/>
      <c r="T21" s="15" t="str">
        <f t="shared" si="7"/>
        <v>Show</v>
      </c>
    </row>
    <row r="22" spans="2:20">
      <c r="B22" s="14" t="str">
        <v>S60 | 80 HD</v>
      </c>
      <c r="C22" s="434" t="str">
        <f t="shared" si="1"/>
        <v>X</v>
      </c>
      <c r="D22" s="322"/>
      <c r="E22" s="660" t="str">
        <f t="shared" si="2"/>
        <v>Show</v>
      </c>
      <c r="L22" s="14" t="str">
        <v>SL20</v>
      </c>
      <c r="M22" s="434" t="str">
        <f t="shared" si="5"/>
        <v>X</v>
      </c>
      <c r="N22" s="322"/>
      <c r="O22" s="15" t="str">
        <f t="shared" si="6"/>
        <v>Show</v>
      </c>
      <c r="Q22" s="14" t="str">
        <v>Slim Profile Double Bracket | S40/S45</v>
      </c>
      <c r="R22" s="434" t="str">
        <f t="shared" si="8"/>
        <v>X</v>
      </c>
      <c r="S22" s="322"/>
      <c r="T22" s="15" t="str">
        <f t="shared" si="7"/>
        <v>Show</v>
      </c>
    </row>
    <row r="23" spans="2:20">
      <c r="B23" s="14" t="str">
        <v>63 STD Aluminium</v>
      </c>
      <c r="C23" s="434" t="str">
        <f t="shared" si="1"/>
        <v>X</v>
      </c>
      <c r="D23" s="322"/>
      <c r="E23" s="660" t="str">
        <f t="shared" si="2"/>
        <v>Show</v>
      </c>
      <c r="L23" s="14" t="str">
        <v>SL30</v>
      </c>
      <c r="M23" s="434" t="str">
        <f t="shared" si="5"/>
        <v>X</v>
      </c>
      <c r="N23" s="322"/>
      <c r="O23" s="15" t="str">
        <f t="shared" si="6"/>
        <v>Show</v>
      </c>
      <c r="Q23" s="14" t="str">
        <v>Skyline Bracket | Double Universal | 38mm</v>
      </c>
      <c r="R23" s="434" t="str">
        <f t="shared" si="8"/>
        <v>X</v>
      </c>
      <c r="S23" s="322"/>
      <c r="T23" s="15" t="str">
        <f t="shared" si="7"/>
        <v>Show</v>
      </c>
    </row>
    <row r="24" spans="2:20">
      <c r="B24" s="14" t="str">
        <v>78 STD Aluminium</v>
      </c>
      <c r="C24" s="434" t="str">
        <f t="shared" si="1"/>
        <v>X</v>
      </c>
      <c r="D24" s="322"/>
      <c r="E24" s="660" t="str">
        <f t="shared" si="2"/>
        <v>Show</v>
      </c>
      <c r="L24" s="14" t="str">
        <v>Easy Spring Air | 1.5"</v>
      </c>
      <c r="M24" s="434" t="str">
        <f t="shared" si="5"/>
        <v>X</v>
      </c>
      <c r="N24" s="322"/>
      <c r="O24" s="15" t="str">
        <f t="shared" si="6"/>
        <v>Show</v>
      </c>
      <c r="Q24" s="14" t="str">
        <v>Skyline Bracket | Double Universal | 48mm</v>
      </c>
      <c r="R24" s="434" t="str">
        <f t="shared" si="8"/>
        <v>X</v>
      </c>
      <c r="S24" s="322"/>
      <c r="T24" s="15" t="str">
        <f t="shared" si="7"/>
        <v>Show</v>
      </c>
    </row>
    <row r="25" spans="2:20">
      <c r="B25" s="14" t="str">
        <v>78 HD Aluminium</v>
      </c>
      <c r="C25" s="434" t="str">
        <f t="shared" si="1"/>
        <v>X</v>
      </c>
      <c r="D25" s="322"/>
      <c r="E25" s="660" t="str">
        <f t="shared" si="2"/>
        <v>Show</v>
      </c>
      <c r="L25" s="14" t="str">
        <v>Easy Spring Air | S45</v>
      </c>
      <c r="M25" s="434" t="str">
        <f t="shared" si="5"/>
        <v>X</v>
      </c>
      <c r="N25" s="322"/>
      <c r="O25" s="15" t="str">
        <f t="shared" si="6"/>
        <v>Show</v>
      </c>
      <c r="Q25" s="14" t="str">
        <v>Skyline Bracket | Double Vertical or Horizontal</v>
      </c>
      <c r="R25" s="434" t="str">
        <f t="shared" si="8"/>
        <v>X</v>
      </c>
      <c r="S25" s="322"/>
      <c r="T25" s="15" t="str">
        <f t="shared" si="7"/>
        <v>Show</v>
      </c>
    </row>
    <row r="26" spans="2:20">
      <c r="B26" s="14" t="str">
        <v>78 STEEL</v>
      </c>
      <c r="C26" s="434" t="str">
        <f t="shared" si="1"/>
        <v>X</v>
      </c>
      <c r="D26" s="322"/>
      <c r="E26" s="660" t="str">
        <f t="shared" si="2"/>
        <v>Show</v>
      </c>
      <c r="L26" s="14" t="str">
        <v>Easy Spring Air | 2"</v>
      </c>
      <c r="M26" s="434" t="str">
        <f t="shared" si="5"/>
        <v>X</v>
      </c>
      <c r="N26" s="322"/>
      <c r="O26" s="15" t="str">
        <f t="shared" si="6"/>
        <v>Show</v>
      </c>
      <c r="Q26" s="14" t="str">
        <v>60mm Bracket | S60</v>
      </c>
      <c r="R26" s="434" t="str">
        <f t="shared" si="8"/>
        <v>X</v>
      </c>
      <c r="S26" s="322"/>
      <c r="T26" s="15" t="str">
        <f t="shared" si="7"/>
        <v>Show</v>
      </c>
    </row>
    <row r="27" spans="2:20">
      <c r="B27" s="14" t="str">
        <v>S100 | 110 STD</v>
      </c>
      <c r="C27" s="434" t="str">
        <f t="shared" si="1"/>
        <v>X</v>
      </c>
      <c r="D27" s="322"/>
      <c r="E27" s="660" t="str">
        <f t="shared" si="2"/>
        <v>Show</v>
      </c>
      <c r="L27" s="14" t="str">
        <v>Automate | 0.7 Nm | 20 rpm</v>
      </c>
      <c r="M27" s="434" t="str">
        <f t="shared" si="5"/>
        <v>X</v>
      </c>
      <c r="N27" s="322"/>
      <c r="O27" s="15" t="str">
        <f t="shared" si="6"/>
        <v>Show</v>
      </c>
      <c r="Q27" s="14" t="str">
        <v>80mm Bracket | S60</v>
      </c>
      <c r="R27" s="434" t="str">
        <f t="shared" ref="R27:R43" si="11">IF(S27&lt;&gt;"","","X")</f>
        <v>X</v>
      </c>
      <c r="S27" s="322"/>
      <c r="T27" s="15" t="str">
        <f t="shared" si="7"/>
        <v>Show</v>
      </c>
    </row>
    <row r="28" spans="2:20">
      <c r="B28" s="14" t="str">
        <v>S100 | 130 HD</v>
      </c>
      <c r="C28" s="434" t="str">
        <f t="shared" si="1"/>
        <v>X</v>
      </c>
      <c r="D28" s="322"/>
      <c r="E28" s="661" t="str">
        <f t="shared" si="2"/>
        <v>Show</v>
      </c>
      <c r="L28" s="14" t="str">
        <v>Automate | 1.1 Nm | 20 rpm</v>
      </c>
      <c r="M28" s="434" t="str">
        <f t="shared" si="5"/>
        <v>X</v>
      </c>
      <c r="N28" s="322"/>
      <c r="O28" s="304" t="str">
        <f t="shared" si="6"/>
        <v>Show</v>
      </c>
      <c r="Q28" s="14" t="str">
        <v>Double Bracket | S60</v>
      </c>
      <c r="R28" s="434" t="str">
        <f t="shared" si="11"/>
        <v>X</v>
      </c>
      <c r="S28" s="322"/>
      <c r="T28" s="15" t="str">
        <f t="shared" si="7"/>
        <v>Show</v>
      </c>
    </row>
    <row r="29" spans="2:20">
      <c r="B29" s="303" t="str">
        <v>S100 | 160 XHD</v>
      </c>
      <c r="C29" s="436" t="str">
        <f t="shared" si="1"/>
        <v>X</v>
      </c>
      <c r="D29" s="304"/>
      <c r="E29" s="661" t="str">
        <f t="shared" si="2"/>
        <v>Show</v>
      </c>
      <c r="L29" s="14" t="str">
        <v>Automate | 2 Nm | 20 rpm</v>
      </c>
      <c r="M29" s="434" t="str">
        <f t="shared" si="5"/>
        <v>X</v>
      </c>
      <c r="N29" s="322"/>
      <c r="O29" s="304" t="str">
        <f t="shared" si="6"/>
        <v>Show</v>
      </c>
      <c r="Q29" s="14" t="str">
        <v>Opulence Brackets</v>
      </c>
      <c r="R29" s="434" t="str">
        <f t="shared" si="11"/>
        <v>X</v>
      </c>
      <c r="S29" s="322"/>
      <c r="T29" s="15" t="str">
        <f t="shared" si="7"/>
        <v>Show</v>
      </c>
    </row>
    <row r="30" spans="2:20">
      <c r="L30" s="14" t="str">
        <v>Automate | 3 Nm | 28 rpm</v>
      </c>
      <c r="M30" s="434" t="str">
        <f t="shared" si="5"/>
        <v>X</v>
      </c>
      <c r="N30" s="322"/>
      <c r="O30" s="304" t="str">
        <f t="shared" si="6"/>
        <v>Show</v>
      </c>
      <c r="Q30" s="14" t="str">
        <v>External Open Bracket | Round</v>
      </c>
      <c r="R30" s="434" t="str">
        <f t="shared" si="11"/>
        <v>X</v>
      </c>
      <c r="S30" s="322"/>
      <c r="T30" s="15" t="str">
        <f t="shared" si="7"/>
        <v>Show</v>
      </c>
    </row>
    <row r="31" spans="2:20">
      <c r="L31" s="14" t="str">
        <v>Automate | 6 Nm | 28 rpm</v>
      </c>
      <c r="M31" s="434" t="str">
        <f t="shared" ref="M31:M35" si="12">IF(N31&lt;&gt;"","","X")</f>
        <v>X</v>
      </c>
      <c r="N31" s="322"/>
      <c r="O31" s="304" t="str">
        <f t="shared" si="6"/>
        <v>Show</v>
      </c>
      <c r="Q31" s="14" t="str">
        <v>External Open Bracket | Square</v>
      </c>
      <c r="R31" s="434" t="str">
        <f t="shared" si="11"/>
        <v>X</v>
      </c>
      <c r="S31" s="322"/>
      <c r="T31" s="15" t="str">
        <f t="shared" si="7"/>
        <v>Show</v>
      </c>
    </row>
    <row r="32" spans="2:20">
      <c r="L32" s="14" t="str">
        <v>Automate | 10 Nm | 9 rpm</v>
      </c>
      <c r="M32" s="434" t="str">
        <f t="shared" si="12"/>
        <v>X</v>
      </c>
      <c r="N32" s="322"/>
      <c r="O32" s="15" t="str">
        <f t="shared" si="6"/>
        <v>Show</v>
      </c>
      <c r="Q32" s="14" t="str">
        <v>Box 120</v>
      </c>
      <c r="R32" s="434" t="str">
        <f t="shared" si="11"/>
        <v>X</v>
      </c>
      <c r="S32" s="322"/>
      <c r="T32" s="15" t="str">
        <f t="shared" si="7"/>
        <v>Show</v>
      </c>
    </row>
    <row r="33" spans="12:20">
      <c r="L33" s="14" t="str">
        <v>Automate | 15 Nm | 15 rpm</v>
      </c>
      <c r="M33" s="434" t="str">
        <f t="shared" si="12"/>
        <v>X</v>
      </c>
      <c r="N33" s="322"/>
      <c r="O33" s="15" t="str">
        <f t="shared" si="6"/>
        <v>Show</v>
      </c>
      <c r="Q33" s="14" t="str">
        <v>Box 160</v>
      </c>
      <c r="R33" s="434" t="str">
        <f t="shared" si="11"/>
        <v>X</v>
      </c>
      <c r="S33" s="322"/>
      <c r="T33" s="15" t="str">
        <f t="shared" si="7"/>
        <v>Show</v>
      </c>
    </row>
    <row r="34" spans="12:20">
      <c r="L34" s="14" t="str">
        <v>Automate | 30 Nm | 15 rpm</v>
      </c>
      <c r="M34" s="434" t="str">
        <f t="shared" si="12"/>
        <v>X</v>
      </c>
      <c r="N34" s="322"/>
      <c r="O34" s="304" t="str">
        <f t="shared" si="6"/>
        <v>Show</v>
      </c>
      <c r="Q34" s="14" t="str">
        <v>Box 190</v>
      </c>
      <c r="R34" s="434" t="str">
        <f t="shared" si="11"/>
        <v>X</v>
      </c>
      <c r="S34" s="322"/>
      <c r="T34" s="15" t="str">
        <f t="shared" si="7"/>
        <v>Show</v>
      </c>
    </row>
    <row r="35" spans="12:20">
      <c r="L35" s="303" t="str">
        <v>Automate | 50 Nm | 12 rpm</v>
      </c>
      <c r="M35" s="304" t="str">
        <f t="shared" si="12"/>
        <v>X</v>
      </c>
      <c r="N35" s="323"/>
      <c r="Q35" s="14" t="str">
        <v>Extreme Top/Face Bracket | S100</v>
      </c>
      <c r="R35" s="434" t="str">
        <f t="shared" si="11"/>
        <v>X</v>
      </c>
      <c r="S35" s="322"/>
      <c r="T35" s="15" t="str">
        <f t="shared" si="7"/>
        <v>Show</v>
      </c>
    </row>
    <row r="36" spans="12:20">
      <c r="Q36" s="14" t="str">
        <v>Extreme Recess Bracket | S100</v>
      </c>
      <c r="R36" s="434" t="str">
        <f t="shared" si="11"/>
        <v>X</v>
      </c>
      <c r="S36" s="322"/>
      <c r="T36" s="15" t="str">
        <f t="shared" si="7"/>
        <v>Show</v>
      </c>
    </row>
    <row r="37" spans="12:20">
      <c r="Q37" s="14" t="str">
        <v>Extreme Zipscreen Open Bracket</v>
      </c>
      <c r="R37" s="434" t="str">
        <f t="shared" si="11"/>
        <v>X</v>
      </c>
      <c r="S37" s="322"/>
      <c r="T37" s="15" t="str">
        <f t="shared" si="7"/>
        <v>Show</v>
      </c>
    </row>
    <row r="38" spans="12:20">
      <c r="Q38" s="14" t="str">
        <v>Cassette 80</v>
      </c>
      <c r="R38" s="434" t="str">
        <f t="shared" si="11"/>
        <v>X</v>
      </c>
      <c r="S38" s="322"/>
      <c r="T38" s="15" t="str">
        <f t="shared" si="7"/>
        <v>Show</v>
      </c>
    </row>
    <row r="39" spans="12:20">
      <c r="Q39" s="14" t="str">
        <v>Cassette 100</v>
      </c>
      <c r="R39" s="434" t="str">
        <f t="shared" si="11"/>
        <v>X</v>
      </c>
      <c r="S39" s="322"/>
      <c r="T39" s="15" t="str">
        <f t="shared" si="7"/>
        <v>Show</v>
      </c>
    </row>
    <row r="40" spans="12:20">
      <c r="Q40" s="14" t="str">
        <v>Cassette 120</v>
      </c>
      <c r="R40" s="434" t="str">
        <f t="shared" si="11"/>
        <v>X</v>
      </c>
      <c r="S40" s="322"/>
      <c r="T40" s="15" t="str">
        <f t="shared" si="7"/>
        <v>Show</v>
      </c>
    </row>
    <row r="41" spans="12:20">
      <c r="Q41" s="14" t="str">
        <v>Square Cassette 110</v>
      </c>
      <c r="R41" s="434" t="str">
        <f t="shared" si="11"/>
        <v>X</v>
      </c>
      <c r="S41" s="322"/>
      <c r="T41" s="15" t="str">
        <f t="shared" si="7"/>
        <v>Show</v>
      </c>
    </row>
    <row r="42" spans="12:20">
      <c r="Q42" s="14" t="str">
        <v>3" Fascia</v>
      </c>
      <c r="R42" s="434" t="str">
        <f t="shared" si="11"/>
        <v>X</v>
      </c>
      <c r="S42" s="322"/>
      <c r="T42" s="15" t="str">
        <f t="shared" si="7"/>
        <v>Show</v>
      </c>
    </row>
    <row r="43" spans="12:20">
      <c r="Q43" s="14" t="str">
        <v>4" Fascia</v>
      </c>
      <c r="R43" s="434" t="str">
        <f t="shared" si="11"/>
        <v>X</v>
      </c>
      <c r="S43" s="322"/>
      <c r="T43" s="15" t="str">
        <f t="shared" si="7"/>
        <v>Show</v>
      </c>
    </row>
    <row r="44" spans="12:20">
      <c r="Q44" s="14" t="str">
        <v>5" Fascia - Single Roll</v>
      </c>
      <c r="R44" s="434" t="str">
        <f t="shared" ref="R44:R46" si="13">IF(S44&lt;&gt;"","","X")</f>
        <v>X</v>
      </c>
      <c r="S44" s="322"/>
      <c r="T44" s="15" t="str">
        <f t="shared" si="7"/>
        <v>Show</v>
      </c>
    </row>
    <row r="45" spans="12:20">
      <c r="Q45" s="14" t="str">
        <v>5" Fascia - Double Roll</v>
      </c>
      <c r="R45" s="434" t="str">
        <f t="shared" si="13"/>
        <v>X</v>
      </c>
      <c r="S45" s="322"/>
      <c r="T45" s="15" t="str">
        <f t="shared" si="7"/>
        <v>Show</v>
      </c>
    </row>
    <row r="46" spans="12:20">
      <c r="Q46" s="14" t="str">
        <v>P95</v>
      </c>
      <c r="R46" s="434" t="str">
        <f t="shared" si="13"/>
        <v>X</v>
      </c>
      <c r="S46" s="322"/>
      <c r="T46" s="15" t="str">
        <f t="shared" si="7"/>
        <v>Show</v>
      </c>
    </row>
    <row r="47" spans="12:20">
      <c r="Q47" s="14" t="str">
        <v>FRS100</v>
      </c>
      <c r="R47" s="434" t="str">
        <f t="shared" ref="R47:R48" si="14">IF(S47&lt;&gt;"","","X")</f>
        <v>X</v>
      </c>
      <c r="S47" s="322"/>
      <c r="T47" s="15" t="str">
        <f>IF(S47&lt;&gt;"","Hide","Show")</f>
        <v>Show</v>
      </c>
    </row>
    <row r="48" spans="12:20">
      <c r="Q48" s="14" t="str">
        <v>FRS120</v>
      </c>
      <c r="R48" s="434" t="str">
        <f t="shared" si="14"/>
        <v>X</v>
      </c>
      <c r="S48" s="322"/>
      <c r="T48" s="15" t="str">
        <f>IF(S48&lt;&gt;"","Hide","Show")</f>
        <v>Show</v>
      </c>
    </row>
    <row r="49" spans="17:20">
      <c r="Q49" s="303" t="str">
        <v>CF90</v>
      </c>
      <c r="R49" s="436" t="s">
        <v>1001</v>
      </c>
      <c r="S49" s="323"/>
      <c r="T49" s="15" t="s">
        <v>429</v>
      </c>
    </row>
    <row r="50" spans="17:20"/>
  </sheetData>
  <sheetProtection algorithmName="SHA-512" hashValue="h2TgdntE4MfMykddQGy8qn+Ja7yaJFz5ReUvo6SAToVoQaH8uXY+BgANE8Am9LFnCGLs8QxlbJm/CF3KguTPpQ==" saltValue="+ZtLstMtyzUNzIkTntVDzA==" spinCount="100000" sheet="1" objects="1" scenarios="1" select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EEC8-B43B-41B6-B496-98586DA12FA3}">
  <sheetPr codeName="Sheet10">
    <tabColor rgb="FFF5FAFD"/>
  </sheetPr>
  <dimension ref="A1:H20"/>
  <sheetViews>
    <sheetView showGridLines="0" showRowColHeaders="0" showRuler="0" workbookViewId="0"/>
  </sheetViews>
  <sheetFormatPr defaultColWidth="0" defaultRowHeight="14.5" zeroHeight="1"/>
  <cols>
    <col min="1" max="1" width="9.1796875" customWidth="1"/>
    <col min="2" max="2" width="0" hidden="1" customWidth="1"/>
    <col min="3" max="3" width="36" customWidth="1"/>
    <col min="4" max="7" width="15.54296875" customWidth="1"/>
    <col min="8" max="8" width="9.1796875" customWidth="1"/>
    <col min="9" max="16384" width="9.1796875" hidden="1"/>
  </cols>
  <sheetData>
    <row r="1" spans="2:7"/>
    <row r="2" spans="2:7">
      <c r="C2" s="756" t="s">
        <v>793</v>
      </c>
      <c r="D2" s="754" t="s">
        <v>794</v>
      </c>
      <c r="E2" s="755"/>
      <c r="F2" s="754" t="s">
        <v>795</v>
      </c>
      <c r="G2" s="755"/>
    </row>
    <row r="3" spans="2:7">
      <c r="C3" s="757"/>
      <c r="D3" s="500" t="s">
        <v>226</v>
      </c>
      <c r="E3" s="500" t="s">
        <v>241</v>
      </c>
      <c r="F3" s="500" t="s">
        <v>239</v>
      </c>
      <c r="G3" s="500" t="s">
        <v>240</v>
      </c>
    </row>
    <row r="4" spans="2:7">
      <c r="B4">
        <v>1</v>
      </c>
      <c r="C4" s="506"/>
      <c r="D4" s="507"/>
      <c r="E4" s="321"/>
      <c r="F4" s="507"/>
      <c r="G4" s="321"/>
    </row>
    <row r="5" spans="2:7">
      <c r="B5">
        <v>2</v>
      </c>
      <c r="C5" s="508"/>
      <c r="D5" s="509"/>
      <c r="E5" s="322"/>
      <c r="F5" s="509"/>
      <c r="G5" s="322"/>
    </row>
    <row r="6" spans="2:7">
      <c r="B6">
        <v>3</v>
      </c>
      <c r="C6" s="508"/>
      <c r="D6" s="509"/>
      <c r="E6" s="322"/>
      <c r="F6" s="509"/>
      <c r="G6" s="322"/>
    </row>
    <row r="7" spans="2:7">
      <c r="B7">
        <v>4</v>
      </c>
      <c r="C7" s="508"/>
      <c r="D7" s="509"/>
      <c r="E7" s="322"/>
      <c r="F7" s="509"/>
      <c r="G7" s="322"/>
    </row>
    <row r="8" spans="2:7">
      <c r="B8">
        <v>5</v>
      </c>
      <c r="C8" s="508"/>
      <c r="D8" s="509"/>
      <c r="E8" s="322"/>
      <c r="F8" s="509"/>
      <c r="G8" s="322"/>
    </row>
    <row r="9" spans="2:7">
      <c r="B9">
        <v>6</v>
      </c>
      <c r="C9" s="508"/>
      <c r="D9" s="509"/>
      <c r="E9" s="322"/>
      <c r="F9" s="509"/>
      <c r="G9" s="322"/>
    </row>
    <row r="10" spans="2:7">
      <c r="B10">
        <v>7</v>
      </c>
      <c r="C10" s="508"/>
      <c r="D10" s="509"/>
      <c r="E10" s="322"/>
      <c r="F10" s="509"/>
      <c r="G10" s="322"/>
    </row>
    <row r="11" spans="2:7">
      <c r="B11">
        <v>8</v>
      </c>
      <c r="C11" s="508"/>
      <c r="D11" s="509"/>
      <c r="E11" s="322"/>
      <c r="F11" s="509"/>
      <c r="G11" s="322"/>
    </row>
    <row r="12" spans="2:7">
      <c r="B12">
        <v>9</v>
      </c>
      <c r="C12" s="508"/>
      <c r="D12" s="509"/>
      <c r="E12" s="322"/>
      <c r="F12" s="509"/>
      <c r="G12" s="322"/>
    </row>
    <row r="13" spans="2:7">
      <c r="B13">
        <v>10</v>
      </c>
      <c r="C13" s="508"/>
      <c r="D13" s="509"/>
      <c r="E13" s="322"/>
      <c r="F13" s="509"/>
      <c r="G13" s="322"/>
    </row>
    <row r="14" spans="2:7">
      <c r="B14">
        <v>11</v>
      </c>
      <c r="C14" s="508"/>
      <c r="D14" s="509"/>
      <c r="E14" s="322"/>
      <c r="F14" s="509"/>
      <c r="G14" s="322"/>
    </row>
    <row r="15" spans="2:7">
      <c r="B15">
        <v>12</v>
      </c>
      <c r="C15" s="508"/>
      <c r="D15" s="509"/>
      <c r="E15" s="322"/>
      <c r="F15" s="509"/>
      <c r="G15" s="322"/>
    </row>
    <row r="16" spans="2:7">
      <c r="B16">
        <v>13</v>
      </c>
      <c r="C16" s="508"/>
      <c r="D16" s="509"/>
      <c r="E16" s="322"/>
      <c r="F16" s="509"/>
      <c r="G16" s="322"/>
    </row>
    <row r="17" spans="2:7">
      <c r="B17">
        <v>14</v>
      </c>
      <c r="C17" s="508"/>
      <c r="D17" s="509"/>
      <c r="E17" s="322"/>
      <c r="F17" s="509"/>
      <c r="G17" s="322"/>
    </row>
    <row r="18" spans="2:7">
      <c r="B18">
        <v>15</v>
      </c>
      <c r="C18" s="510"/>
      <c r="D18" s="511"/>
      <c r="E18" s="323"/>
      <c r="F18" s="511"/>
      <c r="G18" s="323"/>
    </row>
    <row r="19" spans="2:7"/>
    <row r="20" spans="2:7"/>
  </sheetData>
  <sheetProtection algorithmName="SHA-512" hashValue="Ea1bB0TOs4k5FC2tPmgjBaW6lKDdax91O7Et1+VfJpRp9abZb99GxXOPb5nzlOp4ivwmYjAJDSd9QAaZTmiofw==" saltValue="9rlLmTV7Wqwq7MMp9/aTFQ==" spinCount="100000" sheet="1" objects="1" scenarios="1"/>
  <mergeCells count="3">
    <mergeCell ref="D2:E2"/>
    <mergeCell ref="F2:G2"/>
    <mergeCell ref="C2:C3"/>
  </mergeCells>
  <dataValidations disablePrompts="1" count="1">
    <dataValidation type="decimal" allowBlank="1" showInputMessage="1" showErrorMessage="1" sqref="D4:G18" xr:uid="{604D4326-D285-4F71-ABA2-9257D0A25955}">
      <formula1>0</formula1>
      <formula2>10000000</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2:BB302"/>
  <sheetViews>
    <sheetView showGridLines="0" showRowColHeaders="0" showRuler="0" topLeftCell="A32" zoomScaleNormal="100" workbookViewId="0">
      <selection activeCell="H61" sqref="H61:H64"/>
    </sheetView>
  </sheetViews>
  <sheetFormatPr defaultRowHeight="14.5"/>
  <cols>
    <col min="1" max="1" width="3.1796875" customWidth="1"/>
    <col min="2" max="2" width="3.54296875" style="1" customWidth="1"/>
    <col min="3" max="4" width="27" customWidth="1"/>
    <col min="5" max="5" width="26" customWidth="1"/>
    <col min="6" max="6" width="46" customWidth="1"/>
    <col min="7" max="7" width="46.54296875" customWidth="1"/>
    <col min="8" max="8" width="23.453125" customWidth="1"/>
    <col min="9" max="9" width="27" customWidth="1"/>
    <col min="10" max="10" width="20.453125" customWidth="1"/>
    <col min="11" max="11" width="20.1796875" customWidth="1"/>
    <col min="12" max="12" width="24.81640625" customWidth="1"/>
    <col min="13" max="13" width="31.453125" customWidth="1"/>
    <col min="14" max="14" width="17.453125" customWidth="1"/>
    <col min="15" max="15" width="39.54296875" bestFit="1" customWidth="1"/>
    <col min="16" max="16" width="44.81640625" customWidth="1"/>
    <col min="17" max="17" width="19.54296875" customWidth="1"/>
    <col min="18" max="18" width="18" customWidth="1"/>
    <col min="19" max="19" width="20.453125" customWidth="1"/>
    <col min="20" max="20" width="20.1796875" bestFit="1" customWidth="1"/>
    <col min="21" max="24" width="22.453125" bestFit="1" customWidth="1"/>
    <col min="25" max="25" width="16.54296875" bestFit="1" customWidth="1"/>
    <col min="26" max="29" width="22.453125" bestFit="1" customWidth="1"/>
    <col min="30" max="30" width="25.81640625" bestFit="1" customWidth="1"/>
    <col min="31" max="31" width="24.81640625" customWidth="1"/>
    <col min="32" max="32" width="28.453125" customWidth="1"/>
    <col min="33" max="35" width="30.453125" bestFit="1" customWidth="1"/>
    <col min="36" max="36" width="30" bestFit="1" customWidth="1"/>
    <col min="37" max="37" width="31" bestFit="1" customWidth="1"/>
    <col min="38" max="39" width="31.453125" bestFit="1" customWidth="1"/>
    <col min="40" max="40" width="20.453125" customWidth="1"/>
    <col min="41" max="41" width="20.1796875" customWidth="1"/>
    <col min="42" max="43" width="20" customWidth="1"/>
    <col min="44" max="44" width="17.453125" customWidth="1"/>
    <col min="45" max="45" width="25" customWidth="1"/>
    <col min="46" max="46" width="22.1796875" customWidth="1"/>
  </cols>
  <sheetData>
    <row r="2" spans="3:46" ht="15" thickBot="1"/>
    <row r="3" spans="3:46">
      <c r="C3" s="765" t="s">
        <v>18</v>
      </c>
      <c r="D3" s="762"/>
      <c r="E3" s="766"/>
      <c r="F3" s="766"/>
      <c r="G3" s="4" t="s">
        <v>5</v>
      </c>
      <c r="H3" s="4" t="s">
        <v>19</v>
      </c>
      <c r="I3" s="4"/>
      <c r="J3" s="5"/>
      <c r="AK3" t="s">
        <v>984</v>
      </c>
      <c r="AM3">
        <f>i_ControlType</f>
        <v>0</v>
      </c>
    </row>
    <row r="4" spans="3:46">
      <c r="C4" s="767" t="s">
        <v>51</v>
      </c>
      <c r="D4" s="768"/>
      <c r="E4" s="768"/>
      <c r="F4" s="769"/>
      <c r="G4" s="7" t="s">
        <v>1</v>
      </c>
      <c r="H4" s="7" t="s">
        <v>52</v>
      </c>
      <c r="I4" s="29"/>
      <c r="J4" s="30"/>
    </row>
    <row r="5" spans="3:46">
      <c r="C5" s="770" t="s">
        <v>17</v>
      </c>
      <c r="D5" s="771"/>
      <c r="E5" s="772"/>
      <c r="F5" s="772"/>
      <c r="G5" s="11">
        <v>2710</v>
      </c>
      <c r="H5" s="31">
        <f>68*10^9</f>
        <v>68000000000</v>
      </c>
      <c r="I5" s="11"/>
      <c r="J5" s="12"/>
      <c r="W5" t="e" cm="1">
        <f t="array" ref="W5">INDEX(Tube_Description,MATCH(TRUE,$S$15:$S$38&lt;Deflection_limit*$S$7,0))</f>
        <v>#N/A</v>
      </c>
      <c r="AM5" t="str">
        <f>IF(i_ControlType&lt;&gt;"",MATCH(i_ControlType,$E$117:$E$147,0),"")</f>
        <v/>
      </c>
    </row>
    <row r="6" spans="3:46">
      <c r="C6" s="776" t="s">
        <v>164</v>
      </c>
      <c r="D6" s="777"/>
      <c r="E6" s="777"/>
      <c r="F6" s="778"/>
      <c r="G6" s="39">
        <v>7860</v>
      </c>
      <c r="H6" s="117">
        <f>200*10^9</f>
        <v>200000000000</v>
      </c>
      <c r="I6" s="39"/>
      <c r="J6" s="40"/>
      <c r="S6" s="1" t="s">
        <v>671</v>
      </c>
    </row>
    <row r="7" spans="3:46" ht="15" thickBot="1">
      <c r="C7" s="773"/>
      <c r="D7" s="774"/>
      <c r="E7" s="774"/>
      <c r="F7" s="775"/>
      <c r="G7" s="18"/>
      <c r="H7" s="18"/>
      <c r="I7" s="18"/>
      <c r="J7" s="19"/>
      <c r="S7" s="441">
        <f>IF(U11=1,1,0.8)</f>
        <v>0.8</v>
      </c>
    </row>
    <row r="8" spans="3:46">
      <c r="AE8" s="1" t="s">
        <v>673</v>
      </c>
    </row>
    <row r="9" spans="3:46" ht="36">
      <c r="C9" s="670" t="s">
        <v>1137</v>
      </c>
      <c r="D9" s="670"/>
      <c r="E9" s="670"/>
      <c r="F9" s="670"/>
      <c r="G9" s="670"/>
      <c r="H9" s="671"/>
      <c r="I9" s="671"/>
      <c r="J9" s="671"/>
      <c r="K9" s="671"/>
      <c r="L9" s="671"/>
      <c r="M9" s="671"/>
      <c r="N9" s="671"/>
      <c r="O9" s="671"/>
      <c r="Q9" s="763" t="s">
        <v>653</v>
      </c>
      <c r="R9" s="764"/>
      <c r="T9" t="s">
        <v>512</v>
      </c>
      <c r="AE9" s="1">
        <v>18</v>
      </c>
    </row>
    <row r="10" spans="3:46">
      <c r="N10" t="s">
        <v>511</v>
      </c>
      <c r="P10" s="267" t="s">
        <v>683</v>
      </c>
      <c r="Q10" s="402" t="str">
        <f>IFERROR(INDEX(Tube_Description,MATCH(SMALL($Q$15:$Q$38,Tube_Count-$U$11+1),$Q$15:$Q$38,0)),IF(AND(i_Tube="",U11&gt;0),"Select a tube.","No suitable options."))</f>
        <v>No suitable options.</v>
      </c>
      <c r="R10" s="251"/>
      <c r="U10" s="26" t="s">
        <v>346</v>
      </c>
      <c r="V10" t="s">
        <v>268</v>
      </c>
      <c r="W10" s="252" t="str">
        <f>IFERROR(INDEX(Tube_Description,MATCH(SMALL(,Tube_Count-$U$11+1),,0)),IF(AND(i_Tube="",U11&gt;0),"Select a tube.","No suitable options."))</f>
        <v>No suitable options.</v>
      </c>
      <c r="X10" t="s">
        <v>678</v>
      </c>
    </row>
    <row r="11" spans="3:46" ht="15" thickBot="1">
      <c r="F11" s="268"/>
      <c r="H11" s="252" t="s">
        <v>597</v>
      </c>
      <c r="I11" s="260"/>
      <c r="J11" s="260"/>
      <c r="N11" s="1">
        <f>Design_Width_MAX</f>
        <v>0</v>
      </c>
      <c r="Q11" s="402" t="s">
        <v>654</v>
      </c>
      <c r="R11" s="251"/>
      <c r="S11" s="26" t="s">
        <v>672</v>
      </c>
      <c r="T11" s="190" t="s">
        <v>508</v>
      </c>
      <c r="U11" s="1">
        <f>COUNTIF($T$15:$T$38,"&gt;0")</f>
        <v>0</v>
      </c>
      <c r="W11" s="268" t="s">
        <v>1131</v>
      </c>
      <c r="AE11" s="408"/>
      <c r="AN11" t="s">
        <v>677</v>
      </c>
    </row>
    <row r="12" spans="3:46" ht="15.5" thickTop="1" thickBot="1">
      <c r="C12" s="26" t="str">
        <f>i_Category</f>
        <v>Internal</v>
      </c>
      <c r="D12" s="26"/>
      <c r="E12" s="26" t="str">
        <f>i_Region</f>
        <v>AU</v>
      </c>
      <c r="F12" s="26"/>
      <c r="Q12" s="403" t="s">
        <v>83</v>
      </c>
      <c r="R12" s="398"/>
      <c r="S12" s="447">
        <f>Design_Width1*Deflection_limit</f>
        <v>0</v>
      </c>
      <c r="T12" s="116" t="s">
        <v>1130</v>
      </c>
      <c r="U12" s="116"/>
      <c r="V12" s="116"/>
      <c r="W12" s="116"/>
      <c r="X12" s="116"/>
      <c r="AD12" s="335" t="str">
        <f>IFERROR(INDEX(Tube_Description,MATCH($Y15,$AD$15:$AD$38,0)),z_NoOptions)</f>
        <v>No suitable options.</v>
      </c>
      <c r="AE12" s="408" t="s">
        <v>676</v>
      </c>
      <c r="AF12" s="267" t="s">
        <v>670</v>
      </c>
      <c r="AG12" s="267" t="s">
        <v>670</v>
      </c>
      <c r="AH12" s="1"/>
      <c r="AI12" s="267" t="s">
        <v>670</v>
      </c>
      <c r="AN12" s="335" t="str">
        <f ca="1">IFERROR(AN15,IF(AND(i_Tube="",U11&gt;0),"Select a tube.","No suitable options."))</f>
        <v>No suitable options.</v>
      </c>
      <c r="AP12" s="783" t="s">
        <v>758</v>
      </c>
      <c r="AQ12" s="784"/>
      <c r="AR12" s="784"/>
      <c r="AS12" s="784"/>
      <c r="AT12" s="785"/>
    </row>
    <row r="13" spans="3:46" ht="15" thickTop="1">
      <c r="C13" s="253" t="s">
        <v>20</v>
      </c>
      <c r="D13" s="254"/>
      <c r="E13" s="254"/>
      <c r="F13" s="254"/>
      <c r="G13" s="254"/>
      <c r="H13" s="255"/>
      <c r="I13" s="4" t="s">
        <v>12</v>
      </c>
      <c r="J13" s="4" t="s">
        <v>8</v>
      </c>
      <c r="K13" s="4" t="s">
        <v>44</v>
      </c>
      <c r="L13" s="5" t="s">
        <v>43</v>
      </c>
      <c r="M13" s="185" t="s">
        <v>160</v>
      </c>
      <c r="N13" s="114" t="s">
        <v>0</v>
      </c>
      <c r="O13" s="114" t="s">
        <v>661</v>
      </c>
      <c r="Q13" s="185"/>
      <c r="R13" s="399"/>
      <c r="S13" s="114" t="s">
        <v>12</v>
      </c>
      <c r="T13" s="335">
        <f>COUNT($T$15:$T$38)</f>
        <v>0</v>
      </c>
      <c r="AB13" t="s">
        <v>669</v>
      </c>
      <c r="AE13" s="408"/>
      <c r="AP13" s="332"/>
    </row>
    <row r="14" spans="3:46">
      <c r="C14" s="246" t="s">
        <v>1017</v>
      </c>
      <c r="D14" s="246" t="s">
        <v>460</v>
      </c>
      <c r="E14" s="246" t="s">
        <v>245</v>
      </c>
      <c r="F14" s="246" t="s">
        <v>461</v>
      </c>
      <c r="G14" s="7" t="s">
        <v>30</v>
      </c>
      <c r="H14" s="7" t="s">
        <v>16</v>
      </c>
      <c r="I14" s="7" t="s">
        <v>28</v>
      </c>
      <c r="J14" s="7" t="s">
        <v>45</v>
      </c>
      <c r="K14" s="7" t="s">
        <v>27</v>
      </c>
      <c r="L14" s="8" t="s">
        <v>35</v>
      </c>
      <c r="M14" s="184" t="s">
        <v>172</v>
      </c>
      <c r="N14" s="115" t="s">
        <v>184</v>
      </c>
      <c r="O14" s="115" t="s">
        <v>662</v>
      </c>
      <c r="Q14" s="184"/>
      <c r="R14" s="400"/>
      <c r="S14" s="115" t="s">
        <v>84</v>
      </c>
      <c r="T14" s="115" t="s">
        <v>85</v>
      </c>
      <c r="U14" s="115" t="s">
        <v>267</v>
      </c>
      <c r="W14" s="115" t="s">
        <v>347</v>
      </c>
      <c r="Y14" s="115" t="s">
        <v>311</v>
      </c>
      <c r="AE14" s="408"/>
      <c r="AF14" s="26" t="s">
        <v>666</v>
      </c>
      <c r="AG14" s="26" t="s">
        <v>667</v>
      </c>
      <c r="AH14" s="26" t="s">
        <v>674</v>
      </c>
      <c r="AI14" s="26" t="s">
        <v>668</v>
      </c>
      <c r="AK14" s="26" t="s">
        <v>675</v>
      </c>
      <c r="AL14" s="26"/>
      <c r="AM14" s="26"/>
      <c r="AP14" s="465" t="s">
        <v>752</v>
      </c>
      <c r="AQ14" s="466" t="s">
        <v>753</v>
      </c>
      <c r="AR14" s="466" t="s">
        <v>754</v>
      </c>
      <c r="AS14" s="466" t="s">
        <v>796</v>
      </c>
      <c r="AT14" s="466" t="s">
        <v>755</v>
      </c>
    </row>
    <row r="15" spans="3:46">
      <c r="C15" s="683">
        <f>IF(i_ControlType="Easy Spring Air",0,1)</f>
        <v>1</v>
      </c>
      <c r="D15" s="560">
        <v>1</v>
      </c>
      <c r="E15" s="560" t="s">
        <v>266</v>
      </c>
      <c r="F15" s="560">
        <f t="shared" ref="F15:F38" si="0">IF(i_Region="Global",1,IF(OR(i_Region=E15,E15="Global"),1,0))</f>
        <v>0</v>
      </c>
      <c r="G15" s="206" t="s">
        <v>146</v>
      </c>
      <c r="H15" s="10" t="s">
        <v>586</v>
      </c>
      <c r="I15" s="11">
        <v>26.7</v>
      </c>
      <c r="J15" s="134">
        <v>0.28000000000000003</v>
      </c>
      <c r="K15" s="135">
        <v>8191</v>
      </c>
      <c r="L15" s="42">
        <f t="shared" ref="L15:L17" si="1">(K15*10^-12)*AL_E</f>
        <v>556.98800000000006</v>
      </c>
      <c r="M15" s="1"/>
      <c r="N15" s="1">
        <v>3.6579999999999999</v>
      </c>
      <c r="O15" s="397" t="e">
        <f>(-T_Tubes[[#This Row],[Tube OD]]+SQRT(T_Tubes[[#This Row],[Tube OD]]^2+4*Fabric_Thickness*Design_Drop*1000/PI()))/(2*Fabric_Thickness)</f>
        <v>#VALUE!</v>
      </c>
      <c r="P15" s="1">
        <f>IF(INDEX('3. Hardware Options'!$E$6:$E$50,MATCH(T_Tubes[[#This Row],[Description]],'3. Hardware Options'!$B$6:$B$50,0))="Show",1*SUMPRODUCT(D15,F15,C15),0)</f>
        <v>0</v>
      </c>
      <c r="Q15" s="404" t="e">
        <f>((Design_Width_MAX/S15)*IFERROR(SUMPRODUCT(D15,F15,P15),"-")*IF((S15&gt;Design_Width_MAX*Deflection_limit),0,1)*IF(T_Tubes[[#This Row],[MaxLength]]&gt;=Design_Width_MAX,1,0))*T_Tubes[[#This Row],[Mass/m]]</f>
        <v>#VALUE!</v>
      </c>
      <c r="R15" s="401" t="e">
        <f>IF($Q15,1+(COUNTIF($Q$15:$Q$38,"&lt;"&amp;$Q15)-COUNTIF($Q$15:$Q$38,"&lt;0.00001")),IF(SheetStatus="Release - FFA",999-COUNTIF($T$15:$T15,"=0")+1,""))</f>
        <v>#VALUE!</v>
      </c>
      <c r="S15" s="158" t="e">
        <f t="shared" ref="S15:S38" si="2">(5/384)*((g*(Fabric_Density*Design_Drop+$J15+wb_UnitMass+Ballast_UnitMass)*Design_Width_MAX^4)/$L15)*1000</f>
        <v>#VALUE!</v>
      </c>
      <c r="T15" s="213" t="e">
        <f>((Design_Width_MAX/S15)*IFERROR(SUMPRODUCT(D15,F15,P15),"-")*IF((S15&gt;Design_Width_MAX*Deflection_limit),0,1)*IF(T_Tubes[[#This Row],[MaxLength]]&gt;=Design_Width_MAX,1,0))</f>
        <v>#VALUE!</v>
      </c>
      <c r="U15" s="276" t="e">
        <f>IF($T15,1+(COUNTIF($T$15:$T$38,"&lt;"&amp;$T15)-COUNTIF($T$15:$T$38,"&lt;0.00001")),IF(SheetStatus="Release - FFA",999-COUNTIF($T$15:$T15,"=0")+1,""))</f>
        <v>#VALUE!</v>
      </c>
      <c r="W15" s="269" t="str">
        <f>IFERROR(INDEX(Tube_Description,MATCH($Y15,$U$15:$U$38,0)),z_NoOptions)</f>
        <v>No suitable options.</v>
      </c>
      <c r="X15" s="178"/>
      <c r="Y15" s="267">
        <v>1</v>
      </c>
      <c r="AB15" s="252" t="str">
        <f>IFERROR(INDEX(Tube_Description,MATCH($Y15,$R$15:$R$38,0)),z_NoOptions)</f>
        <v>No suitable options.</v>
      </c>
      <c r="AC15" s="213" t="e">
        <f>((Design_Width_MAX/S15)*IFERROR(SUMPRODUCT(D15,F15,P15,C15),"-")*IF((S15&gt;Design_Width_MAX*Deflection_limit*$S$7),0,1)*IF(T_Tubes[[#This Row],[MaxLength]]&gt;=Design_Width_MAX,1,0))</f>
        <v>#VALUE!</v>
      </c>
      <c r="AD15" s="178" t="e">
        <f>IF($AC15,1+(COUNTIF($AC$15:$AC$38,"&lt;"&amp;$AC15)-COUNTIF($AC$15:$AC$38,"&lt;0.00001")),IF(SheetStatus="Release - FFA",999-COUNTIF($T$15:$T15,"=0")+1,""))</f>
        <v>#VALUE!</v>
      </c>
      <c r="AE15" s="229" t="e">
        <f>IF(T15&lt;&gt;0,ABS(T_Tubes[[#This Row],[NumTurns]]-$AE$9),"")</f>
        <v>#VALUE!</v>
      </c>
      <c r="AF15" s="1" t="str">
        <f>IFERROR(_xlfn.RANK.AVG(AE15,$AE$15:$AE$38,1),"")</f>
        <v/>
      </c>
      <c r="AG15" s="276" t="e">
        <f>IF($AC15,1+(COUNTIF($AC$15:$AC$38,"&lt;"&amp;$AC15)-COUNTIF($AC$15:$AC$38,"&lt;0.00001")),IF(SheetStatus="Release - FFA",999-COUNTIF($AC$15:$AC15,"=0")+1,"0"))</f>
        <v>#VALUE!</v>
      </c>
      <c r="AH15" s="409" t="e">
        <f>IF(AC15&lt;&gt;0,T_Tubes[[#This Row],[Mass/m]],"")</f>
        <v>#VALUE!</v>
      </c>
      <c r="AI15" s="1" t="str">
        <f>IFERROR(_xlfn.RANK.AVG(AH15,$AH$15:$AH$38,1),"")</f>
        <v/>
      </c>
      <c r="AJ15" s="1" t="str">
        <f ca="1">IFERROR(IF(AF15*AG15*AI15=0,"",(AF15^2*AG15*SQRT(AI15))+RAND()),"")</f>
        <v/>
      </c>
      <c r="AK15" s="1" t="str">
        <f ca="1">IFERROR(_xlfn.RANK.AVG(AJ15,$AJ$15:$AJ$38,1),"")</f>
        <v/>
      </c>
      <c r="AL15" s="1"/>
      <c r="AM15" s="1"/>
      <c r="AN15" s="252" t="str">
        <f ca="1">IFERROR(INDEX(Tube_Description,MATCH($Y15,$AK$15:$AK$38,0)),z_NoOptions)</f>
        <v>No suitable options.</v>
      </c>
      <c r="AP15" s="467"/>
      <c r="AQ15" s="468"/>
      <c r="AR15" s="468"/>
      <c r="AS15" s="468"/>
      <c r="AT15" s="468"/>
    </row>
    <row r="16" spans="3:46">
      <c r="C16" s="683">
        <f>IF(i_ControlType="Easy Spring Air",0,1)</f>
        <v>1</v>
      </c>
      <c r="D16" s="560">
        <v>1</v>
      </c>
      <c r="E16" s="560" t="s">
        <v>266</v>
      </c>
      <c r="F16" s="560">
        <f t="shared" si="0"/>
        <v>0</v>
      </c>
      <c r="G16" s="240" t="s">
        <v>147</v>
      </c>
      <c r="H16" s="14" t="s">
        <v>587</v>
      </c>
      <c r="I16" s="15">
        <v>29.5</v>
      </c>
      <c r="J16" s="75">
        <v>0.3</v>
      </c>
      <c r="K16" s="136">
        <v>11101</v>
      </c>
      <c r="L16" s="42">
        <f t="shared" si="1"/>
        <v>754.86799999999994</v>
      </c>
      <c r="M16" s="1"/>
      <c r="N16" s="1">
        <v>4.8780000000000001</v>
      </c>
      <c r="O16" s="397" t="e">
        <f>(-T_Tubes[[#This Row],[Tube OD]]+SQRT(T_Tubes[[#This Row],[Tube OD]]^2+4*Fabric_Thickness*Design_Drop*1000/PI()))/(2*Fabric_Thickness)</f>
        <v>#VALUE!</v>
      </c>
      <c r="P16" s="1">
        <f>IF(INDEX('3. Hardware Options'!$E$6:$E$50,MATCH(T_Tubes[[#This Row],[Description]],'3. Hardware Options'!$B$6:$B$50,0))="Show",1*SUMPRODUCT(D16,F16,C16),0)</f>
        <v>0</v>
      </c>
      <c r="Q16" s="404" t="e">
        <f>((Design_Width_MAX/S16)*IFERROR(SUMPRODUCT(D16,F16,P16),"-")*IF((S16&gt;Design_Width_MAX*Deflection_limit),0,1)*IF(T_Tubes[[#This Row],[MaxLength]]&gt;=Design_Width_MAX,1,0))*T_Tubes[[#This Row],[Mass/m]]</f>
        <v>#VALUE!</v>
      </c>
      <c r="R16" s="401" t="e">
        <f>IF($Q16,1+(COUNTIF($Q$15:$Q$38,"&lt;"&amp;$Q16)-COUNTIF($Q$15:$Q$38,"&lt;0.00001")),IF(SheetStatus="Release - FFA",999-COUNTIF($T$15:$T16,"=0")+1,""))</f>
        <v>#VALUE!</v>
      </c>
      <c r="S16" s="158" t="e">
        <f t="shared" si="2"/>
        <v>#VALUE!</v>
      </c>
      <c r="T16" s="213" t="e">
        <f>((Design_Width_MAX/S16)*IFERROR(SUMPRODUCT(D16,F16,P16),"-")*IF((S16&gt;Design_Width_MAX*Deflection_limit),0,1)*IF(T_Tubes[[#This Row],[MaxLength]]&gt;=Design_Width_MAX,1,0))</f>
        <v>#VALUE!</v>
      </c>
      <c r="U16" s="276" t="e">
        <f>IF($T16,1+(COUNTIF($T$15:$T$38,"&lt;"&amp;$T16)-COUNTIF($T$15:$T$38,"&lt;0.00001")),IF(SheetStatus="Release - FFA",999-COUNTIF($T$15:$T16,"=0")+1,""))</f>
        <v>#VALUE!</v>
      </c>
      <c r="W16" s="140" t="str">
        <f t="shared" ref="W16:W38" si="3">IFERROR(INDEX(Tube_Description,MATCH($Y16,$U$15:$U$38,0)),"")</f>
        <v/>
      </c>
      <c r="X16" s="178"/>
      <c r="Y16" s="1">
        <f>IF(Y15+1&lt;=$U$11,Y15+1,999-COUNT($Y$15:Y15)+$U$11)</f>
        <v>998</v>
      </c>
      <c r="AB16" t="str">
        <f t="shared" ref="AB16:AB38" si="4">IFERROR(INDEX(Tube_Description,MATCH($Y16,$R$15:$R$38,0)),"")</f>
        <v/>
      </c>
      <c r="AC16" s="213" t="e">
        <f>((Design_Width_MAX/S16)*IFERROR(SUMPRODUCT(D16,F16,P16,C16),"-")*IF((S16&gt;Design_Width_MAX*Deflection_limit*$S$7),0,1)*IF(T_Tubes[[#This Row],[MaxLength]]&gt;=Design_Width_MAX,1,0))</f>
        <v>#VALUE!</v>
      </c>
      <c r="AD16" s="178" t="e">
        <f>IF($AC16,1+(COUNTIF($AC$15:$AC$38,"&lt;"&amp;$AC16)-COUNTIF($AC$15:$AC$38,"&lt;0.00001")),IF(SheetStatus="Release - FFA",999-COUNTIF($T$15:$T16,"=0")+1,""))</f>
        <v>#VALUE!</v>
      </c>
      <c r="AE16" s="229" t="e">
        <f>IF(T16&lt;&gt;0,ABS(T_Tubes[[#This Row],[NumTurns]]-$AE$9),"")</f>
        <v>#VALUE!</v>
      </c>
      <c r="AF16" s="1" t="str">
        <f t="shared" ref="AF16:AF38" si="5">IFERROR(_xlfn.RANK.AVG(AE16,$AE$15:$AE$38,1),"")</f>
        <v/>
      </c>
      <c r="AG16" s="276" t="e">
        <f>IF($AC16,1+(COUNTIF($AC$15:$AC$38,"&lt;"&amp;$AC16)-COUNTIF($AC$15:$AC$38,"&lt;0.00001")),IF(SheetStatus="Release - FFA",999-COUNTIF($AC$15:$AC16,"=0")+1,"0"))</f>
        <v>#VALUE!</v>
      </c>
      <c r="AH16" s="409" t="e">
        <f>IF(AC16&lt;&gt;0,T_Tubes[[#This Row],[Mass/m]],"")</f>
        <v>#VALUE!</v>
      </c>
      <c r="AI16" s="1" t="str">
        <f t="shared" ref="AI16:AI38" si="6">IFERROR(_xlfn.RANK.AVG(AH16,$AH$15:$AH$38,1),"")</f>
        <v/>
      </c>
      <c r="AJ16" s="1" t="str">
        <f t="shared" ref="AJ16:AJ37" ca="1" si="7">IFERROR(IF(AF16*AG16*AI16=0,"",(AF16^2*AG16*SQRT(AI16))+RAND()),"")</f>
        <v/>
      </c>
      <c r="AK16" s="1" t="str">
        <f t="shared" ref="AK16:AK38" ca="1" si="8">IFERROR(_xlfn.RANK.AVG(AJ16,$AJ$15:$AJ$38,1),"")</f>
        <v/>
      </c>
      <c r="AL16" s="1"/>
      <c r="AM16" s="1"/>
      <c r="AN16" s="252" t="str">
        <f t="shared" ref="AN16:AN38" ca="1" si="9">IFERROR(INDEX(Tube_Description,MATCH($Y16,$AK$15:$AK$38,0)),"")</f>
        <v/>
      </c>
      <c r="AP16" s="467"/>
      <c r="AQ16" s="468"/>
      <c r="AR16" s="468"/>
      <c r="AS16" s="468"/>
      <c r="AT16" s="468"/>
    </row>
    <row r="17" spans="3:46">
      <c r="C17" s="683">
        <f>IF(i_ControlType="Easy Spring Air",0,1)</f>
        <v>1</v>
      </c>
      <c r="D17" s="560">
        <v>1</v>
      </c>
      <c r="E17" s="560" t="s">
        <v>266</v>
      </c>
      <c r="F17" s="560">
        <f t="shared" si="0"/>
        <v>0</v>
      </c>
      <c r="G17" s="240" t="s">
        <v>24</v>
      </c>
      <c r="H17" s="14" t="s">
        <v>33</v>
      </c>
      <c r="I17" s="15">
        <v>32.76</v>
      </c>
      <c r="J17" s="75">
        <v>0.35560000000000003</v>
      </c>
      <c r="K17" s="136">
        <v>15608.7</v>
      </c>
      <c r="L17" s="42">
        <f t="shared" si="1"/>
        <v>1061.3916000000002</v>
      </c>
      <c r="M17" s="1"/>
      <c r="N17" s="1">
        <v>4.8780000000000001</v>
      </c>
      <c r="O17" s="397" t="e">
        <f>(-T_Tubes[[#This Row],[Tube OD]]+SQRT(T_Tubes[[#This Row],[Tube OD]]^2+4*Fabric_Thickness*Design_Drop*1000/PI()))/(2*Fabric_Thickness)</f>
        <v>#VALUE!</v>
      </c>
      <c r="P17" s="1">
        <f>IF(INDEX('3. Hardware Options'!$E$6:$E$50,MATCH(T_Tubes[[#This Row],[Description]],'3. Hardware Options'!$B$6:$B$50,0))="Show",1*SUMPRODUCT(D17,F17,C17),0)</f>
        <v>0</v>
      </c>
      <c r="Q17" s="404" t="e">
        <f>((Design_Width_MAX/S17)*IFERROR(SUMPRODUCT(D17,F17,P17),"-")*IF((S17&gt;Design_Width_MAX*Deflection_limit),0,1)*IF(T_Tubes[[#This Row],[MaxLength]]&gt;=Design_Width_MAX,1,0))*T_Tubes[[#This Row],[Mass/m]]</f>
        <v>#VALUE!</v>
      </c>
      <c r="R17" s="401" t="e">
        <f>IF($Q17,1+(COUNTIF($Q$15:$Q$38,"&lt;"&amp;$Q17)-COUNTIF($Q$15:$Q$38,"&lt;0.00001")),IF(SheetStatus="Release - FFA",999-COUNTIF($T$15:$T17,"=0")+1,""))</f>
        <v>#VALUE!</v>
      </c>
      <c r="S17" s="158" t="e">
        <f t="shared" si="2"/>
        <v>#VALUE!</v>
      </c>
      <c r="T17" s="213" t="e">
        <f>((Design_Width_MAX/S17)*IFERROR(SUMPRODUCT(D17,F17,P17),"-")*IF((S17&gt;Design_Width_MAX*Deflection_limit),0,1)*IF(T_Tubes[[#This Row],[MaxLength]]&gt;=Design_Width_MAX,1,0))</f>
        <v>#VALUE!</v>
      </c>
      <c r="U17" s="276" t="e">
        <f>IF($T17,1+(COUNTIF($T$15:$T$38,"&lt;"&amp;$T17)-COUNTIF($T$15:$T$38,"&lt;0.00001")),IF(SheetStatus="Release - FFA",999-COUNTIF($T$15:$T17,"=0")+1,""))</f>
        <v>#VALUE!</v>
      </c>
      <c r="W17" s="140" t="str">
        <f t="shared" si="3"/>
        <v/>
      </c>
      <c r="X17" s="178"/>
      <c r="Y17" s="1">
        <f>IF(Y16+1&lt;=$U$11,Y16+1,999-COUNT($Y$15:Y16)+$U$11)</f>
        <v>997</v>
      </c>
      <c r="AB17" t="str">
        <f t="shared" si="4"/>
        <v/>
      </c>
      <c r="AC17" s="213" t="e">
        <f>((Design_Width_MAX/S17)*IFERROR(SUMPRODUCT(D17,F17,P17,C17),"-")*IF((S17&gt;Design_Width_MAX*Deflection_limit*$S$7),0,1)*IF(T_Tubes[[#This Row],[MaxLength]]&gt;=Design_Width_MAX,1,0))</f>
        <v>#VALUE!</v>
      </c>
      <c r="AD17" s="178" t="e">
        <f>IF($AC17,1+(COUNTIF($AC$15:$AC$38,"&lt;"&amp;$AC17)-COUNTIF($AC$15:$AC$38,"&lt;0.00001")),IF(SheetStatus="Release - FFA",999-COUNTIF($T$15:$T17,"=0")+1,""))</f>
        <v>#VALUE!</v>
      </c>
      <c r="AE17" s="229" t="e">
        <f>IF(T17&lt;&gt;0,ABS(T_Tubes[[#This Row],[NumTurns]]-$AE$9),"")</f>
        <v>#VALUE!</v>
      </c>
      <c r="AF17" s="1" t="str">
        <f t="shared" si="5"/>
        <v/>
      </c>
      <c r="AG17" s="276" t="e">
        <f>IF($AC17,1+(COUNTIF($AC$15:$AC$38,"&lt;"&amp;$AC17)-COUNTIF($AC$15:$AC$38,"&lt;0.00001")),IF(SheetStatus="Release - FFA",999-COUNTIF($AC$15:$AC17,"=0")+1,"0"))</f>
        <v>#VALUE!</v>
      </c>
      <c r="AH17" s="409" t="e">
        <f>IF(AC17&lt;&gt;0,T_Tubes[[#This Row],[Mass/m]],"")</f>
        <v>#VALUE!</v>
      </c>
      <c r="AI17" s="1" t="str">
        <f t="shared" si="6"/>
        <v/>
      </c>
      <c r="AJ17" s="1" t="str">
        <f t="shared" ca="1" si="7"/>
        <v/>
      </c>
      <c r="AK17" s="1" t="str">
        <f t="shared" ca="1" si="8"/>
        <v/>
      </c>
      <c r="AL17" s="1"/>
      <c r="AM17" s="1"/>
      <c r="AN17" s="252" t="str">
        <f t="shared" ca="1" si="9"/>
        <v/>
      </c>
      <c r="AP17" s="467"/>
      <c r="AQ17" s="468"/>
      <c r="AR17" s="468"/>
      <c r="AS17" s="468"/>
      <c r="AT17" s="468"/>
    </row>
    <row r="18" spans="3:46">
      <c r="C18" s="684">
        <f>IF(i_Region="AU",0,1)</f>
        <v>0</v>
      </c>
      <c r="D18" s="560">
        <v>1</v>
      </c>
      <c r="E18" s="560" t="s">
        <v>266</v>
      </c>
      <c r="F18" s="560">
        <f t="shared" si="0"/>
        <v>0</v>
      </c>
      <c r="G18" s="240" t="s">
        <v>25</v>
      </c>
      <c r="H18" s="14" t="s">
        <v>34</v>
      </c>
      <c r="I18" s="15">
        <v>38.6</v>
      </c>
      <c r="J18" s="75">
        <v>0.42499999999999999</v>
      </c>
      <c r="K18" s="136">
        <v>26222.6</v>
      </c>
      <c r="L18" s="42">
        <f t="shared" ref="L18:L38" si="10">(K18*10^-12)*AL_E</f>
        <v>1783.1367999999998</v>
      </c>
      <c r="M18" s="1"/>
      <c r="N18" s="1">
        <v>4.8780000000000001</v>
      </c>
      <c r="O18" s="397" t="e">
        <f>(-T_Tubes[[#This Row],[Tube OD]]+SQRT(T_Tubes[[#This Row],[Tube OD]]^2+4*Fabric_Thickness*Design_Drop*1000/PI()))/(2*Fabric_Thickness)</f>
        <v>#VALUE!</v>
      </c>
      <c r="P18" s="1">
        <f>IF(INDEX('3. Hardware Options'!$E$6:$E$50,MATCH(T_Tubes[[#This Row],[Description]],'3. Hardware Options'!$B$6:$B$50,0))="Show",1*SUMPRODUCT(D18,F18,C18),0)</f>
        <v>0</v>
      </c>
      <c r="Q18" s="404" t="e">
        <f>((Design_Width_MAX/S18)*IFERROR(SUMPRODUCT(D18,F18,P18),"-")*IF((S18&gt;Design_Width_MAX*Deflection_limit),0,1)*IF(T_Tubes[[#This Row],[MaxLength]]&gt;=Design_Width_MAX,1,0))*T_Tubes[[#This Row],[Mass/m]]</f>
        <v>#VALUE!</v>
      </c>
      <c r="R18" s="401" t="e">
        <f>IF($Q18,1+(COUNTIF($Q$15:$Q$38,"&lt;"&amp;$Q18)-COUNTIF($Q$15:$Q$38,"&lt;0.00001")),IF(SheetStatus="Release - FFA",999-COUNTIF($T$15:$T18,"=0")+1,""))</f>
        <v>#VALUE!</v>
      </c>
      <c r="S18" s="158" t="e">
        <f t="shared" si="2"/>
        <v>#VALUE!</v>
      </c>
      <c r="T18" s="213" t="e">
        <f>((Design_Width_MAX/S18)*IFERROR(SUMPRODUCT(D18,F18,P18),"-")*IF((S18&gt;Design_Width_MAX*Deflection_limit),0,1)*IF(T_Tubes[[#This Row],[MaxLength]]&gt;=Design_Width_MAX,1,0))</f>
        <v>#VALUE!</v>
      </c>
      <c r="U18" s="276" t="e">
        <f>IF($T18,1+(COUNTIF($T$15:$T$38,"&lt;"&amp;$T18)-COUNTIF($T$15:$T$38,"&lt;0.00001")),IF(SheetStatus="Release - FFA",999-COUNTIF($T$15:$T18,"=0")+1,""))</f>
        <v>#VALUE!</v>
      </c>
      <c r="W18" s="140" t="str">
        <f t="shared" si="3"/>
        <v/>
      </c>
      <c r="X18" s="178"/>
      <c r="Y18" s="1">
        <f>IF(Y17+1&lt;=$U$11,Y17+1,999-COUNT($Y$15:Y17)+$U$11)</f>
        <v>996</v>
      </c>
      <c r="AB18" t="str">
        <f t="shared" si="4"/>
        <v/>
      </c>
      <c r="AC18" s="213" t="e">
        <f>((Design_Width_MAX/S18)*IFERROR(SUMPRODUCT(D18,F18,P18,C18),"-")*IF((S18&gt;Design_Width_MAX*Deflection_limit*$S$7),0,1)*IF(T_Tubes[[#This Row],[MaxLength]]&gt;=Design_Width_MAX,1,0))</f>
        <v>#VALUE!</v>
      </c>
      <c r="AD18" s="178" t="e">
        <f>IF($AC18,1+(COUNTIF($AC$15:$AC$38,"&lt;"&amp;$AC18)-COUNTIF($AC$15:$AC$38,"&lt;0.00001")),IF(SheetStatus="Release - FFA",999-COUNTIF($T$15:$T18,"=0")+1,""))</f>
        <v>#VALUE!</v>
      </c>
      <c r="AE18" s="229" t="e">
        <f>IF(T18&lt;&gt;0,ABS(T_Tubes[[#This Row],[NumTurns]]-$AE$9),"")</f>
        <v>#VALUE!</v>
      </c>
      <c r="AF18" s="1" t="str">
        <f t="shared" si="5"/>
        <v/>
      </c>
      <c r="AG18" s="276" t="e">
        <f>IF($AC18,1+(COUNTIF($AC$15:$AC$38,"&lt;"&amp;$AC18)-COUNTIF($AC$15:$AC$38,"&lt;0.00001")),IF(SheetStatus="Release - FFA",999-COUNTIF($AC$15:$AC18,"=0")+1,"0"))</f>
        <v>#VALUE!</v>
      </c>
      <c r="AH18" s="409" t="e">
        <f>IF(AC18&lt;&gt;0,T_Tubes[[#This Row],[Mass/m]],"")</f>
        <v>#VALUE!</v>
      </c>
      <c r="AI18" s="1" t="str">
        <f t="shared" si="6"/>
        <v/>
      </c>
      <c r="AJ18" s="1" t="str">
        <f t="shared" ca="1" si="7"/>
        <v/>
      </c>
      <c r="AK18" s="1" t="str">
        <f t="shared" ca="1" si="8"/>
        <v/>
      </c>
      <c r="AL18" s="1"/>
      <c r="AM18" s="1"/>
      <c r="AN18" s="252" t="str">
        <f t="shared" ca="1" si="9"/>
        <v/>
      </c>
      <c r="AP18" s="467"/>
      <c r="AQ18" s="468">
        <v>1</v>
      </c>
      <c r="AR18" s="468">
        <v>1</v>
      </c>
      <c r="AS18" s="468">
        <v>1</v>
      </c>
      <c r="AT18" s="468">
        <v>1</v>
      </c>
    </row>
    <row r="19" spans="3:46">
      <c r="C19" s="267">
        <f>IF(i_Region="AU",0,1)</f>
        <v>0</v>
      </c>
      <c r="D19" s="560">
        <v>1</v>
      </c>
      <c r="E19" s="560" t="s">
        <v>266</v>
      </c>
      <c r="F19" s="560">
        <f>IF(i_Region="Global",1,IF(OR(i_Region=E19,E19="Global"),1,0))</f>
        <v>0</v>
      </c>
      <c r="G19" t="s">
        <v>1126</v>
      </c>
      <c r="H19" t="s">
        <v>1127</v>
      </c>
      <c r="I19" s="1">
        <v>45</v>
      </c>
      <c r="J19" s="1">
        <v>0.67800000000000005</v>
      </c>
      <c r="K19" s="178">
        <v>49362</v>
      </c>
      <c r="L19" s="178">
        <f>(K19*10^-12)*AL_E</f>
        <v>3356.616</v>
      </c>
      <c r="M19" s="1"/>
      <c r="N19" s="1">
        <v>4.8780000000000001</v>
      </c>
      <c r="O19" s="397" t="e">
        <f>(-T_Tubes[[#This Row],[Tube OD]]+SQRT(T_Tubes[[#This Row],[Tube OD]]^2+4*Fabric_Thickness*Design_Drop*1000/PI()))/(2*Fabric_Thickness)</f>
        <v>#VALUE!</v>
      </c>
      <c r="P19" s="1">
        <f>IF(INDEX('3. Hardware Options'!$E$6:$E$50,MATCH(T_Tubes[[#This Row],[Description]],'3. Hardware Options'!$B$6:$B$50,0))="Show",1*SUMPRODUCT(D20,F20,C20),0)</f>
        <v>0</v>
      </c>
      <c r="Q19" s="404" t="e">
        <f>((Design_Width_MAX/S19)*IFERROR(SUMPRODUCT(D19,F19,P19),"-")*IF((S19&gt;Design_Width_MAX*Deflection_limit),0,1)*IF(T_Tubes[[#This Row],[MaxLength]]&gt;=Design_Width_MAX,1,0))*T_Tubes[[#This Row],[Mass/m]]</f>
        <v>#VALUE!</v>
      </c>
      <c r="R19" s="401" t="e">
        <f>IF($Q19,1+(COUNTIF($Q$15:$Q$38,"&lt;"&amp;$Q19)-COUNTIF($Q$15:$Q$38,"&lt;0.00001")),IF(SheetStatus="Release - FFA",999-COUNTIF($T$15:$T19,"=0")+1,""))</f>
        <v>#VALUE!</v>
      </c>
      <c r="S19" s="158" t="e">
        <f t="shared" si="2"/>
        <v>#VALUE!</v>
      </c>
      <c r="T19" s="213" t="e">
        <f>((Design_Width_MAX/S19)*IFERROR(SUMPRODUCT(D19,F19,P19),"-")*IF((S19&gt;Design_Width_MAX*Deflection_limit),0,1)*IF(T_Tubes[[#This Row],[MaxLength]]&gt;=Design_Width_MAX,1,0))</f>
        <v>#VALUE!</v>
      </c>
      <c r="U19" s="276" t="e">
        <f>IF($T19,1+(COUNTIF($T$15:$T$38,"&lt;"&amp;$T19)-COUNTIF($T$15:$T$38,"&lt;0.00001")),IF(SheetStatus="Release - FFA",999-COUNTIF($T$15:$T19,"=0")+1,""))</f>
        <v>#VALUE!</v>
      </c>
      <c r="W19" s="140" t="str">
        <f t="shared" si="3"/>
        <v/>
      </c>
      <c r="X19" s="178"/>
      <c r="Y19" s="1">
        <f>IF(Y18+1&lt;=$U$11,Y18+1,999-COUNT($Y$15:Y18)+$U$11)</f>
        <v>995</v>
      </c>
      <c r="AB19" t="str">
        <f t="shared" si="4"/>
        <v/>
      </c>
      <c r="AC19" s="213" t="e">
        <f>((Design_Width_MAX/S19)*IFERROR(SUMPRODUCT(D19,F19,P19,C19),"-")*IF((S19&gt;Design_Width_MAX*Deflection_limit*$S$7),0,1)*IF(T_Tubes[[#This Row],[MaxLength]]&gt;=Design_Width_MAX,1,0))</f>
        <v>#VALUE!</v>
      </c>
      <c r="AD19" s="178" t="e">
        <f>IF($AC19,1+(COUNTIF($AC$15:$AC$38,"&lt;"&amp;$AC19)-COUNTIF($AC$15:$AC$38,"&lt;0.00001")),IF(SheetStatus="Release - FFA",999-COUNTIF($T$15:$T19,"=0")+1,""))</f>
        <v>#VALUE!</v>
      </c>
      <c r="AE19" s="229" t="e">
        <f>IF(T19&lt;&gt;0,ABS(T_Tubes[[#This Row],[NumTurns]]-$AE$9),"")</f>
        <v>#VALUE!</v>
      </c>
      <c r="AF19" s="1" t="str">
        <f t="shared" si="5"/>
        <v/>
      </c>
      <c r="AG19" s="276" t="e">
        <f>IF($AC19,1+(COUNTIF($AC$15:$AC$38,"&lt;"&amp;$AC19)-COUNTIF($AC$15:$AC$38,"&lt;0.00001")),IF(SheetStatus="Release - FFA",999-COUNTIF($AC$15:$AC19,"=0")+1,"0"))</f>
        <v>#VALUE!</v>
      </c>
      <c r="AH19" s="409" t="e">
        <f>IF(AC19&lt;&gt;0,T_Tubes[[#This Row],[Mass/m]],"")</f>
        <v>#VALUE!</v>
      </c>
      <c r="AI19" s="1" t="str">
        <f t="shared" si="6"/>
        <v/>
      </c>
      <c r="AJ19" s="1" t="str">
        <f t="shared" ca="1" si="7"/>
        <v/>
      </c>
      <c r="AK19" s="1" t="str">
        <f t="shared" ca="1" si="8"/>
        <v/>
      </c>
      <c r="AL19" s="1"/>
      <c r="AM19" s="1"/>
      <c r="AN19" s="252" t="str">
        <f t="shared" ca="1" si="9"/>
        <v/>
      </c>
      <c r="AP19" s="467"/>
      <c r="AQ19" s="468">
        <v>1</v>
      </c>
      <c r="AR19" s="468"/>
      <c r="AS19" s="468"/>
      <c r="AT19" s="468"/>
    </row>
    <row r="20" spans="3:46">
      <c r="C20" s="684">
        <f>IF(i_Region="AU",0,1)</f>
        <v>0</v>
      </c>
      <c r="D20" s="560">
        <v>1</v>
      </c>
      <c r="E20" s="560" t="s">
        <v>266</v>
      </c>
      <c r="F20" s="560">
        <f t="shared" si="0"/>
        <v>0</v>
      </c>
      <c r="G20" s="240" t="s">
        <v>26</v>
      </c>
      <c r="H20" s="14" t="s">
        <v>13</v>
      </c>
      <c r="I20" s="15">
        <v>50.8</v>
      </c>
      <c r="J20" s="75">
        <v>0.73599999999999999</v>
      </c>
      <c r="K20" s="136">
        <v>74380.600000000006</v>
      </c>
      <c r="L20" s="42">
        <f t="shared" si="10"/>
        <v>5057.8807999999999</v>
      </c>
      <c r="M20" s="1"/>
      <c r="N20" s="1">
        <v>4.8780000000000001</v>
      </c>
      <c r="O20" s="397" t="e">
        <f>(-T_Tubes[[#This Row],[Tube OD]]+SQRT(T_Tubes[[#This Row],[Tube OD]]^2+4*Fabric_Thickness*Design_Drop*1000/PI()))/(2*Fabric_Thickness)</f>
        <v>#VALUE!</v>
      </c>
      <c r="P20" s="1">
        <f>IF(INDEX('3. Hardware Options'!$E$6:$E$50,MATCH(T_Tubes[[#This Row],[Description]],'3. Hardware Options'!$B$6:$B$50,0))="Show",1*SUMPRODUCT(D21,F21,C21),0)</f>
        <v>0</v>
      </c>
      <c r="Q20" s="404" t="e">
        <f>((Design_Width_MAX/S20)*IFERROR(SUMPRODUCT(D20,F20,P20),"-")*IF((S20&gt;Design_Width_MAX*Deflection_limit),0,1)*IF(T_Tubes[[#This Row],[MaxLength]]&gt;=Design_Width_MAX,1,0))*T_Tubes[[#This Row],[Mass/m]]</f>
        <v>#VALUE!</v>
      </c>
      <c r="R20" s="401" t="e">
        <f>IF($Q20,1+(COUNTIF($Q$15:$Q$38,"&lt;"&amp;$Q20)-COUNTIF($Q$15:$Q$38,"&lt;0.00001")),IF(SheetStatus="Release - FFA",999-COUNTIF($T$15:$T20,"=0")+1,""))</f>
        <v>#VALUE!</v>
      </c>
      <c r="S20" s="158" t="e">
        <f t="shared" si="2"/>
        <v>#VALUE!</v>
      </c>
      <c r="T20" s="213" t="e">
        <f>((Design_Width_MAX/S20)*IFERROR(SUMPRODUCT(D20,F20,P20),"-")*IF((S20&gt;Design_Width_MAX*Deflection_limit),0,1)*IF(T_Tubes[[#This Row],[MaxLength]]&gt;=Design_Width_MAX,1,0))</f>
        <v>#VALUE!</v>
      </c>
      <c r="U20" s="276" t="e">
        <f>IF($T20,1+(COUNTIF($T$15:$T$38,"&lt;"&amp;$T20)-COUNTIF($T$15:$T$38,"&lt;0.00001")),IF(SheetStatus="Release - FFA",999-COUNTIF($T$15:$T20,"=0")+1,""))</f>
        <v>#VALUE!</v>
      </c>
      <c r="W20" s="140" t="str">
        <f t="shared" si="3"/>
        <v/>
      </c>
      <c r="X20" s="178"/>
      <c r="Y20" s="1">
        <f>IF(Y19+1&lt;=$U$11,Y19+1,999-COUNT($Y$15:Y19)+$U$11)</f>
        <v>994</v>
      </c>
      <c r="AB20" t="str">
        <f t="shared" si="4"/>
        <v/>
      </c>
      <c r="AC20" s="213" t="e">
        <f>((Design_Width_MAX/S20)*IFERROR(SUMPRODUCT(D20,F20,P20,C20),"-")*IF((S20&gt;Design_Width_MAX*Deflection_limit*$S$7),0,1)*IF(T_Tubes[[#This Row],[MaxLength]]&gt;=Design_Width_MAX,1,0))</f>
        <v>#VALUE!</v>
      </c>
      <c r="AD20" s="178" t="e">
        <f>IF($AC20,1+(COUNTIF($AC$15:$AC$38,"&lt;"&amp;$AC20)-COUNTIF($AC$15:$AC$38,"&lt;0.00001")),IF(SheetStatus="Release - FFA",999-COUNTIF($T$15:$T20,"=0")+1,""))</f>
        <v>#VALUE!</v>
      </c>
      <c r="AE20" s="229" t="e">
        <f>IF(T20&lt;&gt;0,ABS(T_Tubes[[#This Row],[NumTurns]]-$AE$9),"")</f>
        <v>#VALUE!</v>
      </c>
      <c r="AF20" s="1" t="str">
        <f t="shared" si="5"/>
        <v/>
      </c>
      <c r="AG20" s="276" t="e">
        <f>IF($AC20,1+(COUNTIF($AC$15:$AC$38,"&lt;"&amp;$AC20)-COUNTIF($AC$15:$AC$38,"&lt;0.00001")),IF(SheetStatus="Release - FFA",999-COUNTIF($AC$15:$AC20,"=0")+1,"0"))</f>
        <v>#VALUE!</v>
      </c>
      <c r="AH20" s="409" t="e">
        <f>IF(AC20&lt;&gt;0,T_Tubes[[#This Row],[Mass/m]],"")</f>
        <v>#VALUE!</v>
      </c>
      <c r="AI20" s="1" t="str">
        <f t="shared" si="6"/>
        <v/>
      </c>
      <c r="AJ20" s="1" t="str">
        <f t="shared" ca="1" si="7"/>
        <v/>
      </c>
      <c r="AK20" s="1" t="str">
        <f t="shared" ca="1" si="8"/>
        <v/>
      </c>
      <c r="AL20" s="1"/>
      <c r="AM20" s="1"/>
      <c r="AN20" s="252" t="str">
        <f t="shared" ca="1" si="9"/>
        <v/>
      </c>
      <c r="AP20" s="467"/>
      <c r="AQ20" s="468">
        <v>1</v>
      </c>
      <c r="AR20" s="468"/>
      <c r="AS20" s="468"/>
      <c r="AT20" s="468"/>
    </row>
    <row r="21" spans="3:46">
      <c r="C21" s="683">
        <f t="shared" ref="C21:C26" si="11">IF(i_ControlType="Easy Spring Air",0,1)</f>
        <v>1</v>
      </c>
      <c r="D21" s="560">
        <v>1</v>
      </c>
      <c r="E21" s="560" t="s">
        <v>266</v>
      </c>
      <c r="F21" s="560">
        <f t="shared" si="0"/>
        <v>0</v>
      </c>
      <c r="G21" s="240" t="s">
        <v>86</v>
      </c>
      <c r="H21" s="14" t="s">
        <v>588</v>
      </c>
      <c r="I21" s="15">
        <v>65.2</v>
      </c>
      <c r="J21" s="15">
        <v>1.31</v>
      </c>
      <c r="K21" s="136">
        <v>224028</v>
      </c>
      <c r="L21" s="42">
        <f t="shared" si="10"/>
        <v>15233.904</v>
      </c>
      <c r="M21" s="1"/>
      <c r="N21" s="1">
        <v>4.8780000000000001</v>
      </c>
      <c r="O21" s="397" t="e">
        <f>(-T_Tubes[[#This Row],[Tube OD]]+SQRT(T_Tubes[[#This Row],[Tube OD]]^2+4*Fabric_Thickness*Design_Drop*1000/PI()))/(2*Fabric_Thickness)</f>
        <v>#VALUE!</v>
      </c>
      <c r="P21" s="1">
        <f>IF(INDEX('3. Hardware Options'!$E$6:$E$50,MATCH(T_Tubes[[#This Row],[Description]],'3. Hardware Options'!$B$6:$B$50,0))="Show",1*SUMPRODUCT(D22,F22,C22),0)</f>
        <v>0</v>
      </c>
      <c r="Q21" s="404" t="e">
        <f>((Design_Width_MAX/S21)*IFERROR(SUMPRODUCT(D21,F21,P21),"-")*IF((S21&gt;Design_Width_MAX*Deflection_limit),0,1)*IF(T_Tubes[[#This Row],[MaxLength]]&gt;=Design_Width_MAX,1,0))*T_Tubes[[#This Row],[Mass/m]]</f>
        <v>#VALUE!</v>
      </c>
      <c r="R21" s="401" t="e">
        <f>IF($Q21,1+(COUNTIF($Q$15:$Q$38,"&lt;"&amp;$Q21)-COUNTIF($Q$15:$Q$38,"&lt;0.00001")),IF(SheetStatus="Release - FFA",999-COUNTIF($T$15:$T21,"=0")+1,""))</f>
        <v>#VALUE!</v>
      </c>
      <c r="S21" s="158" t="e">
        <f t="shared" si="2"/>
        <v>#VALUE!</v>
      </c>
      <c r="T21" s="213" t="e">
        <f>((Design_Width_MAX/S21)*IFERROR(SUMPRODUCT(D21,F21,P21),"-")*IF((S21&gt;Design_Width_MAX*Deflection_limit),0,1)*IF(T_Tubes[[#This Row],[MaxLength]]&gt;=Design_Width_MAX,1,0))</f>
        <v>#VALUE!</v>
      </c>
      <c r="U21" s="276" t="e">
        <f>IF($T21,1+(COUNTIF($T$15:$T$38,"&lt;"&amp;$T21)-COUNTIF($T$15:$T$38,"&lt;0.00001")),IF(SheetStatus="Release - FFA",999-COUNTIF($T$15:$T21,"=0")+1,""))</f>
        <v>#VALUE!</v>
      </c>
      <c r="W21" s="140" t="str">
        <f t="shared" si="3"/>
        <v/>
      </c>
      <c r="X21" s="178"/>
      <c r="Y21" s="1">
        <f>IF(Y20+1&lt;=$U$11,Y20+1,999-COUNT($Y$15:Y20)+$U$11)</f>
        <v>993</v>
      </c>
      <c r="AB21" t="str">
        <f t="shared" si="4"/>
        <v/>
      </c>
      <c r="AC21" s="213" t="e">
        <f>((Design_Width_MAX/S21)*IFERROR(SUMPRODUCT(D21,F21,P21,C21),"-")*IF((S21&gt;Design_Width_MAX*Deflection_limit*$S$7),0,1)*IF(T_Tubes[[#This Row],[MaxLength]]&gt;=Design_Width_MAX,1,0))</f>
        <v>#VALUE!</v>
      </c>
      <c r="AD21" s="178" t="e">
        <f>IF($AC21,1+(COUNTIF($AC$15:$AC$38,"&lt;"&amp;$AC21)-COUNTIF($AC$15:$AC$38,"&lt;0.00001")),IF(SheetStatus="Release - FFA",999-COUNTIF($T$15:$T21,"=0")+1,""))</f>
        <v>#VALUE!</v>
      </c>
      <c r="AE21" s="229" t="e">
        <f>IF(T21&lt;&gt;0,ABS(T_Tubes[[#This Row],[NumTurns]]-$AE$9),"")</f>
        <v>#VALUE!</v>
      </c>
      <c r="AF21" s="1" t="str">
        <f t="shared" si="5"/>
        <v/>
      </c>
      <c r="AG21" s="276" t="e">
        <f>IF($AC21,1+(COUNTIF($AC$15:$AC$38,"&lt;"&amp;$AC21)-COUNTIF($AC$15:$AC$38,"&lt;0.00001")),IF(SheetStatus="Release - FFA",999-COUNTIF($AC$15:$AC21,"=0")+1,"0"))</f>
        <v>#VALUE!</v>
      </c>
      <c r="AH21" s="409" t="e">
        <f>IF(AC21&lt;&gt;0,T_Tubes[[#This Row],[Mass/m]],"")</f>
        <v>#VALUE!</v>
      </c>
      <c r="AI21" s="1" t="str">
        <f t="shared" si="6"/>
        <v/>
      </c>
      <c r="AJ21" s="1" t="str">
        <f t="shared" ca="1" si="7"/>
        <v/>
      </c>
      <c r="AK21" s="1" t="str">
        <f t="shared" ca="1" si="8"/>
        <v/>
      </c>
      <c r="AL21" s="1"/>
      <c r="AM21" s="1"/>
      <c r="AN21" s="252" t="str">
        <f t="shared" ca="1" si="9"/>
        <v/>
      </c>
      <c r="AP21" s="469"/>
      <c r="AQ21" s="470"/>
      <c r="AR21" s="470"/>
      <c r="AS21" s="470"/>
      <c r="AT21" s="470"/>
    </row>
    <row r="22" spans="3:46">
      <c r="C22" s="685">
        <f t="shared" si="11"/>
        <v>1</v>
      </c>
      <c r="D22" s="560">
        <v>1</v>
      </c>
      <c r="E22" s="560" t="s">
        <v>266</v>
      </c>
      <c r="F22" s="560">
        <f t="shared" si="0"/>
        <v>0</v>
      </c>
      <c r="G22" s="207" t="s">
        <v>124</v>
      </c>
      <c r="H22" s="35" t="s">
        <v>589</v>
      </c>
      <c r="I22" s="36">
        <v>83.1</v>
      </c>
      <c r="J22" s="36">
        <v>3.08</v>
      </c>
      <c r="K22" s="524">
        <v>798623</v>
      </c>
      <c r="L22" s="656">
        <f t="shared" si="10"/>
        <v>54306.363999999994</v>
      </c>
      <c r="M22" s="1"/>
      <c r="N22" s="1">
        <v>4.8780000000000001</v>
      </c>
      <c r="O22" s="397" t="e">
        <f>(-T_Tubes[[#This Row],[Tube OD]]+SQRT(T_Tubes[[#This Row],[Tube OD]]^2+4*Fabric_Thickness*Design_Drop*1000/PI()))/(2*Fabric_Thickness)</f>
        <v>#VALUE!</v>
      </c>
      <c r="P22" s="1">
        <f>IF(INDEX('3. Hardware Options'!$E$6:$E$50,MATCH(T_Tubes[[#This Row],[Description]],'3. Hardware Options'!$B$6:$B$50,0))="Show",1*SUMPRODUCT(D19,F19,C19),0)</f>
        <v>0</v>
      </c>
      <c r="Q22" s="404" t="e">
        <f>((Design_Width_MAX/S22)*IFERROR(SUMPRODUCT(D22,F22,P22),"-")*IF((S22&gt;Design_Width_MAX*Deflection_limit),0,1)*IF(T_Tubes[[#This Row],[MaxLength]]&gt;=Design_Width_MAX,1,0))*T_Tubes[[#This Row],[Mass/m]]</f>
        <v>#VALUE!</v>
      </c>
      <c r="R22" s="401" t="e">
        <f>IF($Q22,1+(COUNTIF($Q$15:$Q$38,"&lt;"&amp;$Q22)-COUNTIF($Q$15:$Q$38,"&lt;0.00001")),IF(SheetStatus="Release - FFA",999-COUNTIF($T$15:$T22,"=0")+1,""))</f>
        <v>#VALUE!</v>
      </c>
      <c r="S22" s="158" t="e">
        <f t="shared" si="2"/>
        <v>#VALUE!</v>
      </c>
      <c r="T22" s="213" t="e">
        <f>((Design_Width_MAX/S22)*IFERROR(SUMPRODUCT(D22,F22,P22),"-")*IF((S22&gt;Design_Width_MAX*Deflection_limit),0,1)*IF(T_Tubes[[#This Row],[MaxLength]]&gt;=Design_Width_MAX,1,0))</f>
        <v>#VALUE!</v>
      </c>
      <c r="U22" s="276" t="e">
        <f>IF($T22,1+(COUNTIF($T$15:$T$38,"&lt;"&amp;$T22)-COUNTIF($T$15:$T$38,"&lt;0.00001")),IF(SheetStatus="Release - FFA",999-COUNTIF($T$15:$T22,"=0")+1,""))</f>
        <v>#VALUE!</v>
      </c>
      <c r="W22" s="140" t="str">
        <f t="shared" si="3"/>
        <v/>
      </c>
      <c r="X22" s="178"/>
      <c r="Y22" s="1">
        <f>IF(Y21+1&lt;=$U$11,Y21+1,999-COUNT($Y$15:Y21)+$U$11)</f>
        <v>992</v>
      </c>
      <c r="AB22" t="str">
        <f t="shared" si="4"/>
        <v/>
      </c>
      <c r="AC22" s="213" t="e">
        <f>((Design_Width_MAX/S22)*IFERROR(SUMPRODUCT(D22,F22,P22,C22),"-")*IF((S22&gt;Design_Width_MAX*Deflection_limit*$S$7),0,1)*IF(T_Tubes[[#This Row],[MaxLength]]&gt;=Design_Width_MAX,1,0))</f>
        <v>#VALUE!</v>
      </c>
      <c r="AD22" s="178" t="e">
        <f>IF($AC22,1+(COUNTIF($AC$15:$AC$38,"&lt;"&amp;$AC22)-COUNTIF($AC$15:$AC$38,"&lt;0.00001")),IF(SheetStatus="Release - FFA",999-COUNTIF($T$15:$T22,"=0")+1,""))</f>
        <v>#VALUE!</v>
      </c>
      <c r="AE22" s="178" t="e">
        <f>IF(T22&lt;&gt;0,ABS(T_Tubes[[#This Row],[NumTurns]]-$AE$9),"")</f>
        <v>#VALUE!</v>
      </c>
      <c r="AF22" s="1" t="str">
        <f t="shared" si="5"/>
        <v/>
      </c>
      <c r="AG22" s="276" t="e">
        <f>IF($AC22,1+(COUNTIF($AC$15:$AC$38,"&lt;"&amp;$AC22)-COUNTIF($AC$15:$AC$38,"&lt;0.00001")),IF(SheetStatus="Release - FFA",999-COUNTIF($AC$15:$AC22,"=0")+1,"0"))</f>
        <v>#VALUE!</v>
      </c>
      <c r="AH22" s="409" t="e">
        <f>IF(AC22&lt;&gt;0,T_Tubes[[#This Row],[Mass/m]],"")</f>
        <v>#VALUE!</v>
      </c>
      <c r="AI22" s="1" t="str">
        <f t="shared" si="6"/>
        <v/>
      </c>
      <c r="AJ22" s="1" t="str">
        <f t="shared" ca="1" si="7"/>
        <v/>
      </c>
      <c r="AK22" s="1" t="str">
        <f t="shared" ca="1" si="8"/>
        <v/>
      </c>
      <c r="AL22" s="1"/>
      <c r="AM22" s="1"/>
      <c r="AN22" s="252" t="str">
        <f t="shared" ca="1" si="9"/>
        <v/>
      </c>
      <c r="AP22" s="178"/>
      <c r="AQ22" s="1"/>
      <c r="AR22" s="1"/>
      <c r="AS22" s="1"/>
      <c r="AT22" s="1"/>
    </row>
    <row r="23" spans="3:46">
      <c r="C23" s="686">
        <f t="shared" si="11"/>
        <v>1</v>
      </c>
      <c r="D23" s="560">
        <v>1</v>
      </c>
      <c r="E23" s="560" t="s">
        <v>265</v>
      </c>
      <c r="F23" s="560">
        <f t="shared" si="0"/>
        <v>1</v>
      </c>
      <c r="G23" s="247" t="s">
        <v>143</v>
      </c>
      <c r="H23" s="38" t="s">
        <v>139</v>
      </c>
      <c r="I23" s="39">
        <v>32.9</v>
      </c>
      <c r="J23" s="39">
        <v>0.31</v>
      </c>
      <c r="K23" s="523">
        <v>14029</v>
      </c>
      <c r="L23" s="657">
        <f t="shared" si="10"/>
        <v>953.97199999999998</v>
      </c>
      <c r="M23" s="1"/>
      <c r="N23" s="1">
        <v>5.8</v>
      </c>
      <c r="O23" s="397" t="e">
        <f>(-T_Tubes[[#This Row],[Tube OD]]+SQRT(T_Tubes[[#This Row],[Tube OD]]^2+4*Fabric_Thickness*Design_Drop*1000/PI()))/(2*Fabric_Thickness)</f>
        <v>#VALUE!</v>
      </c>
      <c r="P23" s="1">
        <f>IF(INDEX('3. Hardware Options'!$E$6:$E$50,MATCH(T_Tubes[[#This Row],[Description]],'3. Hardware Options'!$B$6:$B$50,0))="Show",1*SUMPRODUCT(D23,F23,C23),0)</f>
        <v>1</v>
      </c>
      <c r="Q23" s="404" t="e">
        <f>((Design_Width_MAX/S23)*IFERROR(SUMPRODUCT(D23,F23,P23),"-")*IF((S23&gt;Design_Width_MAX*Deflection_limit),0,1)*IF(T_Tubes[[#This Row],[MaxLength]]&gt;=Design_Width_MAX,1,0))*T_Tubes[[#This Row],[Mass/m]]</f>
        <v>#VALUE!</v>
      </c>
      <c r="R23" s="401" t="e">
        <f>IF($Q23,1+(COUNTIF($Q$15:$Q$38,"&lt;"&amp;$Q23)-COUNTIF($Q$15:$Q$38,"&lt;0.00001")),IF(SheetStatus="Release - FFA",999-COUNTIF($T$15:$T23,"=0")+1,""))</f>
        <v>#VALUE!</v>
      </c>
      <c r="S23" s="158" t="e">
        <f t="shared" si="2"/>
        <v>#VALUE!</v>
      </c>
      <c r="T23" s="213" t="e">
        <f>((Design_Width_MAX/S23)*IFERROR(SUMPRODUCT(D23,F23,P23),"-")*IF((S23&gt;Design_Width_MAX*Deflection_limit),0,1)*IF(T_Tubes[[#This Row],[MaxLength]]&gt;=Design_Width_MAX,1,0))</f>
        <v>#VALUE!</v>
      </c>
      <c r="U23" s="276" t="e">
        <f>IF($T23,1+(COUNTIF($T$15:$T$38,"&lt;"&amp;$T23)-COUNTIF($T$15:$T$38,"&lt;0.00001")),IF(SheetStatus="Release - FFA",999-COUNTIF($T$15:$T23,"=0")+1,""))</f>
        <v>#VALUE!</v>
      </c>
      <c r="W23" s="140" t="str">
        <f t="shared" si="3"/>
        <v/>
      </c>
      <c r="X23" s="178"/>
      <c r="Y23" s="1">
        <f>IF(Y22+1&lt;=$U$11,Y22+1,999-COUNT($Y$15:Y22)+$U$11)</f>
        <v>991</v>
      </c>
      <c r="AB23" t="str">
        <f t="shared" si="4"/>
        <v/>
      </c>
      <c r="AC23" s="213" t="e">
        <f>((Design_Width_MAX/S23)*IFERROR(SUMPRODUCT(D23,F23,P23,C23),"-")*IF((S23&gt;Design_Width_MAX*Deflection_limit*$S$7),0,1)*IF(T_Tubes[[#This Row],[MaxLength]]&gt;=Design_Width_MAX,1,0))</f>
        <v>#VALUE!</v>
      </c>
      <c r="AD23" s="178" t="e">
        <f>IF($AC23,1+(COUNTIF($AC$15:$AC$38,"&lt;"&amp;$AC23)-COUNTIF($AC$15:$AC$38,"&lt;0.00001")),IF(SheetStatus="Release - FFA",999-COUNTIF($T$15:$T23,"=0")+1,""))</f>
        <v>#VALUE!</v>
      </c>
      <c r="AE23" s="229" t="e">
        <f>IF(T23&lt;&gt;0,ABS(T_Tubes[[#This Row],[NumTurns]]-$AE$9),"")</f>
        <v>#VALUE!</v>
      </c>
      <c r="AF23" s="1" t="str">
        <f t="shared" si="5"/>
        <v/>
      </c>
      <c r="AG23" s="276" t="e">
        <f>IF($AC23,1+(COUNTIF($AC$15:$AC$38,"&lt;"&amp;$AC23)-COUNTIF($AC$15:$AC$38,"&lt;0.00001")),IF(SheetStatus="Release - FFA",999-COUNTIF($AC$15:$AC23,"=0")+1,"0"))</f>
        <v>#VALUE!</v>
      </c>
      <c r="AH23" s="409" t="e">
        <f>IF(AC23&lt;&gt;0,T_Tubes[[#This Row],[Mass/m]],"")</f>
        <v>#VALUE!</v>
      </c>
      <c r="AI23" s="1" t="str">
        <f t="shared" si="6"/>
        <v/>
      </c>
      <c r="AJ23" s="1" t="str">
        <f t="shared" ca="1" si="7"/>
        <v/>
      </c>
      <c r="AK23" s="1" t="str">
        <f t="shared" ca="1" si="8"/>
        <v/>
      </c>
      <c r="AL23" s="1"/>
      <c r="AM23" s="1"/>
      <c r="AN23" s="252" t="str">
        <f t="shared" ca="1" si="9"/>
        <v/>
      </c>
      <c r="AP23" s="658"/>
      <c r="AQ23" s="659"/>
      <c r="AR23" s="659"/>
      <c r="AS23" s="659"/>
      <c r="AT23" s="659"/>
    </row>
    <row r="24" spans="3:46">
      <c r="C24" s="683">
        <f t="shared" si="11"/>
        <v>1</v>
      </c>
      <c r="D24" s="560">
        <v>1</v>
      </c>
      <c r="E24" s="560" t="s">
        <v>265</v>
      </c>
      <c r="F24" s="560">
        <f t="shared" si="0"/>
        <v>1</v>
      </c>
      <c r="G24" s="240" t="s">
        <v>144</v>
      </c>
      <c r="H24" s="14" t="s">
        <v>140</v>
      </c>
      <c r="I24" s="15">
        <v>34</v>
      </c>
      <c r="J24" s="15">
        <v>0.46</v>
      </c>
      <c r="K24" s="136">
        <v>21925</v>
      </c>
      <c r="L24" s="42">
        <f t="shared" si="10"/>
        <v>1490.8999999999999</v>
      </c>
      <c r="M24" s="1"/>
      <c r="N24" s="1">
        <v>5.8</v>
      </c>
      <c r="O24" s="397" t="e">
        <f>(-T_Tubes[[#This Row],[Tube OD]]+SQRT(T_Tubes[[#This Row],[Tube OD]]^2+4*Fabric_Thickness*Design_Drop*1000/PI()))/(2*Fabric_Thickness)</f>
        <v>#VALUE!</v>
      </c>
      <c r="P24" s="1">
        <f>IF(INDEX('3. Hardware Options'!$E$6:$E$50,MATCH(T_Tubes[[#This Row],[Description]],'3. Hardware Options'!$B$6:$B$50,0))="Show",1*SUMPRODUCT(D24,F24,C24),0)</f>
        <v>1</v>
      </c>
      <c r="Q24" s="404" t="e">
        <f>((Design_Width_MAX/S24)*IFERROR(SUMPRODUCT(D24,F24,P24),"-")*IF((S24&gt;Design_Width_MAX*Deflection_limit),0,1)*IF(T_Tubes[[#This Row],[MaxLength]]&gt;=Design_Width_MAX,1,0))*T_Tubes[[#This Row],[Mass/m]]</f>
        <v>#VALUE!</v>
      </c>
      <c r="R24" s="401" t="e">
        <f>IF($Q24,1+(COUNTIF($Q$15:$Q$38,"&lt;"&amp;$Q24)-COUNTIF($Q$15:$Q$38,"&lt;0.00001")),IF(SheetStatus="Release - FFA",999-COUNTIF($T$15:$T24,"=0")+1,""))</f>
        <v>#VALUE!</v>
      </c>
      <c r="S24" s="158" t="e">
        <f t="shared" si="2"/>
        <v>#VALUE!</v>
      </c>
      <c r="T24" s="213" t="e">
        <f>((Design_Width_MAX/S24)*IFERROR(SUMPRODUCT(D24,F24,P24),"-")*IF((S24&gt;Design_Width_MAX*Deflection_limit),0,1)*IF(T_Tubes[[#This Row],[MaxLength]]&gt;=Design_Width_MAX,1,0))</f>
        <v>#VALUE!</v>
      </c>
      <c r="U24" s="276" t="e">
        <f>IF($T24,1+(COUNTIF($T$15:$T$38,"&lt;"&amp;$T24)-COUNTIF($T$15:$T$38,"&lt;0.00001")),IF(SheetStatus="Release - FFA",999-COUNTIF($T$15:$T24,"=0")+1,""))</f>
        <v>#VALUE!</v>
      </c>
      <c r="W24" s="140" t="str">
        <f t="shared" si="3"/>
        <v/>
      </c>
      <c r="X24" s="178"/>
      <c r="Y24" s="1">
        <f>IF(Y23+1&lt;=$U$11,Y23+1,999-COUNT($Y$15:Y23)+$U$11)</f>
        <v>990</v>
      </c>
      <c r="AB24" t="str">
        <f t="shared" si="4"/>
        <v/>
      </c>
      <c r="AC24" s="213" t="e">
        <f>((Design_Width_MAX/S24)*IFERROR(SUMPRODUCT(D24,F24,P24,C24),"-")*IF((S24&gt;Design_Width_MAX*Deflection_limit*$S$7),0,1)*IF(T_Tubes[[#This Row],[MaxLength]]&gt;=Design_Width_MAX,1,0))</f>
        <v>#VALUE!</v>
      </c>
      <c r="AD24" s="178" t="e">
        <f>IF($AC24,1+(COUNTIF($AC$15:$AC$38,"&lt;"&amp;$AC24)-COUNTIF($AC$15:$AC$38,"&lt;0.00001")),IF(SheetStatus="Release - FFA",999-COUNTIF($T$15:$T24,"=0")+1,""))</f>
        <v>#VALUE!</v>
      </c>
      <c r="AE24" s="229" t="e">
        <f>IF(T24&lt;&gt;0,ABS(T_Tubes[[#This Row],[NumTurns]]-$AE$9),"")</f>
        <v>#VALUE!</v>
      </c>
      <c r="AF24" s="1" t="str">
        <f t="shared" si="5"/>
        <v/>
      </c>
      <c r="AG24" s="276" t="e">
        <f>IF($AC24,1+(COUNTIF($AC$15:$AC$38,"&lt;"&amp;$AC24)-COUNTIF($AC$15:$AC$38,"&lt;0.00001")),IF(SheetStatus="Release - FFA",999-COUNTIF($AC$15:$AC24,"=0")+1,"0"))</f>
        <v>#VALUE!</v>
      </c>
      <c r="AH24" s="409" t="e">
        <f>IF(AC24&lt;&gt;0,T_Tubes[[#This Row],[Mass/m]],"")</f>
        <v>#VALUE!</v>
      </c>
      <c r="AI24" s="1" t="str">
        <f t="shared" si="6"/>
        <v/>
      </c>
      <c r="AJ24" s="1" t="str">
        <f t="shared" ca="1" si="7"/>
        <v/>
      </c>
      <c r="AK24" s="1" t="str">
        <f t="shared" ca="1" si="8"/>
        <v/>
      </c>
      <c r="AL24" s="1"/>
      <c r="AM24" s="1"/>
      <c r="AN24" s="252" t="str">
        <f t="shared" ca="1" si="9"/>
        <v/>
      </c>
      <c r="AP24" s="467"/>
      <c r="AQ24" s="468"/>
      <c r="AR24" s="468"/>
      <c r="AS24" s="468"/>
      <c r="AT24" s="468"/>
    </row>
    <row r="25" spans="3:46">
      <c r="C25" s="683">
        <f t="shared" si="11"/>
        <v>1</v>
      </c>
      <c r="D25" s="560">
        <v>1</v>
      </c>
      <c r="E25" s="560" t="s">
        <v>265</v>
      </c>
      <c r="F25" s="560">
        <f t="shared" si="0"/>
        <v>1</v>
      </c>
      <c r="G25" s="240" t="s">
        <v>145</v>
      </c>
      <c r="H25" s="14" t="s">
        <v>141</v>
      </c>
      <c r="I25" s="15">
        <v>39.4</v>
      </c>
      <c r="J25" s="15">
        <v>0.35</v>
      </c>
      <c r="K25" s="136">
        <v>22294</v>
      </c>
      <c r="L25" s="42">
        <f t="shared" si="10"/>
        <v>1515.992</v>
      </c>
      <c r="M25" s="1"/>
      <c r="N25" s="1">
        <v>5.8</v>
      </c>
      <c r="O25" s="397" t="e">
        <f>(-T_Tubes[[#This Row],[Tube OD]]+SQRT(T_Tubes[[#This Row],[Tube OD]]^2+4*Fabric_Thickness*Design_Drop*1000/PI()))/(2*Fabric_Thickness)</f>
        <v>#VALUE!</v>
      </c>
      <c r="P25" s="1">
        <f>IF(INDEX('3. Hardware Options'!$E$6:$E$50,MATCH(T_Tubes[[#This Row],[Description]],'3. Hardware Options'!$B$6:$B$50,0))="Show",1*SUMPRODUCT(D25,F25,C25),0)</f>
        <v>1</v>
      </c>
      <c r="Q25" s="404" t="e">
        <f>((Design_Width_MAX/S25)*IFERROR(SUMPRODUCT(D25,F25,P25),"-")*IF((S25&gt;Design_Width_MAX*Deflection_limit),0,1)*IF(T_Tubes[[#This Row],[MaxLength]]&gt;=Design_Width_MAX,1,0))*T_Tubes[[#This Row],[Mass/m]]</f>
        <v>#VALUE!</v>
      </c>
      <c r="R25" s="401" t="e">
        <f>IF($Q25,1+(COUNTIF($Q$15:$Q$38,"&lt;"&amp;$Q25)-COUNTIF($Q$15:$Q$38,"&lt;0.00001")),IF(SheetStatus="Release - FFA",999-COUNTIF($T$15:$T25,"=0")+1,""))</f>
        <v>#VALUE!</v>
      </c>
      <c r="S25" s="158" t="e">
        <f t="shared" si="2"/>
        <v>#VALUE!</v>
      </c>
      <c r="T25" s="213" t="e">
        <f>((Design_Width_MAX/S25)*IFERROR(SUMPRODUCT(D25,F25,P25),"-")*IF((S25&gt;Design_Width_MAX*Deflection_limit),0,1)*IF(T_Tubes[[#This Row],[MaxLength]]&gt;=Design_Width_MAX,1,0))</f>
        <v>#VALUE!</v>
      </c>
      <c r="U25" s="276" t="e">
        <f>IF($T25,1+(COUNTIF($T$15:$T$38,"&lt;"&amp;$T25)-COUNTIF($T$15:$T$38,"&lt;0.00001")),IF(SheetStatus="Release - FFA",999-COUNTIF($T$15:$T25,"=0")+1,""))</f>
        <v>#VALUE!</v>
      </c>
      <c r="W25" s="140" t="str">
        <f t="shared" si="3"/>
        <v/>
      </c>
      <c r="X25" s="178"/>
      <c r="Y25" s="1">
        <f>IF(Y24+1&lt;=$U$11,Y24+1,999-COUNT($Y$15:Y24)+$U$11)</f>
        <v>989</v>
      </c>
      <c r="AB25" t="str">
        <f t="shared" si="4"/>
        <v/>
      </c>
      <c r="AC25" s="213" t="e">
        <f>((Design_Width_MAX/S25)*IFERROR(SUMPRODUCT(D25,F25,P25,C25),"-")*IF((S25&gt;Design_Width_MAX*Deflection_limit*$S$7),0,1)*IF(T_Tubes[[#This Row],[MaxLength]]&gt;=Design_Width_MAX,1,0))</f>
        <v>#VALUE!</v>
      </c>
      <c r="AD25" s="178" t="e">
        <f>IF($AC25,1+(COUNTIF($AC$15:$AC$38,"&lt;"&amp;$AC25)-COUNTIF($AC$15:$AC$38,"&lt;0.00001")),IF(SheetStatus="Release - FFA",999-COUNTIF($T$15:$T25,"=0")+1,""))</f>
        <v>#VALUE!</v>
      </c>
      <c r="AE25" s="229" t="e">
        <f>IF(T25&lt;&gt;0,ABS(T_Tubes[[#This Row],[NumTurns]]-$AE$9),"")</f>
        <v>#VALUE!</v>
      </c>
      <c r="AF25" s="1" t="str">
        <f t="shared" si="5"/>
        <v/>
      </c>
      <c r="AG25" s="276" t="e">
        <f>IF($AC25,1+(COUNTIF($AC$15:$AC$38,"&lt;"&amp;$AC25)-COUNTIF($AC$15:$AC$38,"&lt;0.00001")),IF(SheetStatus="Release - FFA",999-COUNTIF($AC$15:$AC25,"=0")+1,"0"))</f>
        <v>#VALUE!</v>
      </c>
      <c r="AH25" s="409" t="e">
        <f>IF(AC25&lt;&gt;0,T_Tubes[[#This Row],[Mass/m]],"")</f>
        <v>#VALUE!</v>
      </c>
      <c r="AI25" s="1" t="str">
        <f t="shared" si="6"/>
        <v/>
      </c>
      <c r="AJ25" s="1" t="str">
        <f t="shared" ca="1" si="7"/>
        <v/>
      </c>
      <c r="AK25" s="1" t="str">
        <f t="shared" ca="1" si="8"/>
        <v/>
      </c>
      <c r="AL25" s="1"/>
      <c r="AM25" s="1"/>
      <c r="AN25" s="252" t="str">
        <f t="shared" ca="1" si="9"/>
        <v/>
      </c>
      <c r="AP25" s="467"/>
      <c r="AQ25" s="468"/>
      <c r="AR25" s="468">
        <v>1</v>
      </c>
      <c r="AS25" s="468">
        <v>1</v>
      </c>
      <c r="AT25" s="468"/>
    </row>
    <row r="26" spans="3:46">
      <c r="C26" s="683">
        <f t="shared" si="11"/>
        <v>1</v>
      </c>
      <c r="D26" s="560">
        <v>1</v>
      </c>
      <c r="E26" s="560" t="s">
        <v>265</v>
      </c>
      <c r="F26" s="560">
        <f t="shared" si="0"/>
        <v>1</v>
      </c>
      <c r="G26" s="240" t="s">
        <v>652</v>
      </c>
      <c r="H26" s="14" t="s">
        <v>142</v>
      </c>
      <c r="I26" s="15">
        <v>39.9</v>
      </c>
      <c r="J26" s="15">
        <v>0.54</v>
      </c>
      <c r="K26" s="136">
        <v>32347</v>
      </c>
      <c r="L26" s="42">
        <f t="shared" si="10"/>
        <v>2199.596</v>
      </c>
      <c r="M26" s="1"/>
      <c r="N26" s="1">
        <v>5.8</v>
      </c>
      <c r="O26" s="397" t="e">
        <f>(-T_Tubes[[#This Row],[Tube OD]]+SQRT(T_Tubes[[#This Row],[Tube OD]]^2+4*Fabric_Thickness*Design_Drop*1000/PI()))/(2*Fabric_Thickness)</f>
        <v>#VALUE!</v>
      </c>
      <c r="P26" s="1">
        <f>IF(INDEX('3. Hardware Options'!$E$6:$E$50,MATCH(T_Tubes[[#This Row],[Description]],'3. Hardware Options'!$B$6:$B$50,0))="Show",1*SUMPRODUCT(D26,F26,C26),0)</f>
        <v>1</v>
      </c>
      <c r="Q26" s="404" t="e">
        <f>((Design_Width_MAX/S26)*IFERROR(SUMPRODUCT(D26,F26,P26),"-")*IF((S26&gt;Design_Width_MAX*Deflection_limit),0,1)*IF(T_Tubes[[#This Row],[MaxLength]]&gt;=Design_Width_MAX,1,0))*T_Tubes[[#This Row],[Mass/m]]</f>
        <v>#VALUE!</v>
      </c>
      <c r="R26" s="401" t="e">
        <f>IF($Q26,1+(COUNTIF($Q$15:$Q$38,"&lt;"&amp;$Q26)-COUNTIF($Q$15:$Q$38,"&lt;0.00001")),IF(SheetStatus="Release - FFA",999-COUNTIF($T$15:$T26,"=0")+1,""))</f>
        <v>#VALUE!</v>
      </c>
      <c r="S26" s="158" t="e">
        <f t="shared" si="2"/>
        <v>#VALUE!</v>
      </c>
      <c r="T26" s="213" t="e">
        <f>((Design_Width_MAX/S26)*IFERROR(SUMPRODUCT(D26,F26,P26),"-")*IF((S26&gt;Design_Width_MAX*Deflection_limit),0,1)*IF(T_Tubes[[#This Row],[MaxLength]]&gt;=Design_Width_MAX,1,0))</f>
        <v>#VALUE!</v>
      </c>
      <c r="U26" s="276" t="e">
        <f>IF($T26,1+(COUNTIF($T$15:$T$38,"&lt;"&amp;$T26)-COUNTIF($T$15:$T$38,"&lt;0.00001")),IF(SheetStatus="Release - FFA",999-COUNTIF($T$15:$T26,"=0")+1,""))</f>
        <v>#VALUE!</v>
      </c>
      <c r="W26" s="140" t="str">
        <f t="shared" si="3"/>
        <v/>
      </c>
      <c r="X26" s="178"/>
      <c r="Y26" s="1">
        <f>IF(Y25+1&lt;=$U$11,Y25+1,999-COUNT($Y$15:Y25)+$U$11)</f>
        <v>988</v>
      </c>
      <c r="AB26" t="str">
        <f t="shared" si="4"/>
        <v/>
      </c>
      <c r="AC26" s="213" t="e">
        <f>((Design_Width_MAX/S26)*IFERROR(SUMPRODUCT(D26,F26,P26,C26),"-")*IF((S26&gt;Design_Width_MAX*Deflection_limit*$S$7),0,1)*IF(T_Tubes[[#This Row],[MaxLength]]&gt;=Design_Width_MAX,1,0))</f>
        <v>#VALUE!</v>
      </c>
      <c r="AD26" s="178" t="e">
        <f>IF($AC26,1+(COUNTIF($AC$15:$AC$38,"&lt;"&amp;$AC26)-COUNTIF($AC$15:$AC$38,"&lt;0.00001")),IF(SheetStatus="Release - FFA",999-COUNTIF($T$15:$T26,"=0")+1,""))</f>
        <v>#VALUE!</v>
      </c>
      <c r="AE26" s="229" t="e">
        <f>IF(T26&lt;&gt;0,ABS(T_Tubes[[#This Row],[NumTurns]]-$AE$9),"")</f>
        <v>#VALUE!</v>
      </c>
      <c r="AF26" s="1" t="str">
        <f t="shared" si="5"/>
        <v/>
      </c>
      <c r="AG26" s="276" t="e">
        <f>IF($AC26,1+(COUNTIF($AC$15:$AC$38,"&lt;"&amp;$AC26)-COUNTIF($AC$15:$AC$38,"&lt;0.00001")),IF(SheetStatus="Release - FFA",999-COUNTIF($AC$15:$AC26,"=0")+1,"0"))</f>
        <v>#VALUE!</v>
      </c>
      <c r="AH26" s="409" t="e">
        <f>IF(AC26&lt;&gt;0,T_Tubes[[#This Row],[Mass/m]],"")</f>
        <v>#VALUE!</v>
      </c>
      <c r="AI26" s="1" t="str">
        <f t="shared" si="6"/>
        <v/>
      </c>
      <c r="AJ26" s="1" t="str">
        <f t="shared" ca="1" si="7"/>
        <v/>
      </c>
      <c r="AK26" s="1" t="str">
        <f t="shared" ca="1" si="8"/>
        <v/>
      </c>
      <c r="AL26" s="1"/>
      <c r="AM26" s="1"/>
      <c r="AN26" s="252" t="str">
        <f t="shared" ca="1" si="9"/>
        <v/>
      </c>
      <c r="AP26" s="467"/>
      <c r="AQ26" s="468"/>
      <c r="AR26" s="468">
        <v>1</v>
      </c>
      <c r="AS26" s="468">
        <v>1</v>
      </c>
      <c r="AT26" s="468"/>
    </row>
    <row r="27" spans="3:46">
      <c r="C27" s="684">
        <v>1</v>
      </c>
      <c r="D27" s="560">
        <v>1</v>
      </c>
      <c r="E27" s="560" t="s">
        <v>420</v>
      </c>
      <c r="F27" s="560">
        <f t="shared" si="0"/>
        <v>1</v>
      </c>
      <c r="G27" s="240" t="s">
        <v>105</v>
      </c>
      <c r="H27" s="14" t="s">
        <v>109</v>
      </c>
      <c r="I27" s="15">
        <v>43.25</v>
      </c>
      <c r="J27" s="75">
        <v>0.4138</v>
      </c>
      <c r="K27" s="136">
        <v>33442.06</v>
      </c>
      <c r="L27" s="42">
        <f t="shared" si="10"/>
        <v>2274.0600799999997</v>
      </c>
      <c r="M27" s="1"/>
      <c r="N27" s="1">
        <v>5.8</v>
      </c>
      <c r="O27" s="397" t="e">
        <f>(-T_Tubes[[#This Row],[Tube OD]]+SQRT(T_Tubes[[#This Row],[Tube OD]]^2+4*Fabric_Thickness*Design_Drop*1000/PI()))/(2*Fabric_Thickness)</f>
        <v>#VALUE!</v>
      </c>
      <c r="P27" s="1">
        <f>IF(INDEX('3. Hardware Options'!$E$6:$E$50,MATCH(T_Tubes[[#This Row],[Description]],'3. Hardware Options'!$B$6:$B$50,0))="Show",1*SUMPRODUCT(D27,F27,C27),0)</f>
        <v>1</v>
      </c>
      <c r="Q27" s="404" t="e">
        <f>((Design_Width_MAX/S27)*IFERROR(SUMPRODUCT(D27,F27,P27),"-")*IF((S27&gt;Design_Width_MAX*Deflection_limit),0,1)*IF(T_Tubes[[#This Row],[MaxLength]]&gt;=Design_Width_MAX,1,0))*T_Tubes[[#This Row],[Mass/m]]</f>
        <v>#VALUE!</v>
      </c>
      <c r="R27" s="401" t="e">
        <f>IF($Q27,1+(COUNTIF($Q$15:$Q$38,"&lt;"&amp;$Q27)-COUNTIF($Q$15:$Q$38,"&lt;0.00001")),IF(SheetStatus="Release - FFA",999-COUNTIF($T$15:$T27,"=0")+1,""))</f>
        <v>#VALUE!</v>
      </c>
      <c r="S27" s="158" t="e">
        <f t="shared" si="2"/>
        <v>#VALUE!</v>
      </c>
      <c r="T27" s="213" t="e">
        <f>((Design_Width_MAX/S27)*IFERROR(SUMPRODUCT(D27,F27,P27),"-")*IF((S27&gt;Design_Width_MAX*Deflection_limit),0,1)*IF(T_Tubes[[#This Row],[MaxLength]]&gt;=Design_Width_MAX,1,0))</f>
        <v>#VALUE!</v>
      </c>
      <c r="U27" s="276" t="e">
        <f>IF($T27,1+(COUNTIF($T$15:$T$38,"&lt;"&amp;$T27)-COUNTIF($T$15:$T$38,"&lt;0.00001")),IF(SheetStatus="Release - FFA",999-COUNTIF($T$15:$T27,"=0")+1,""))</f>
        <v>#VALUE!</v>
      </c>
      <c r="W27" s="140" t="str">
        <f t="shared" si="3"/>
        <v/>
      </c>
      <c r="X27" s="178"/>
      <c r="Y27" s="1">
        <f>IF(Y26+1&lt;=$U$11,Y26+1,999-COUNT($Y$15:Y26)+$U$11)</f>
        <v>987</v>
      </c>
      <c r="AB27" t="str">
        <f t="shared" si="4"/>
        <v/>
      </c>
      <c r="AC27" s="213" t="e">
        <f>((Design_Width_MAX/S27)*IFERROR(SUMPRODUCT(D27,F27,P27,C27),"-")*IF((S27&gt;Design_Width_MAX*Deflection_limit*$S$7),0,1)*IF(T_Tubes[[#This Row],[MaxLength]]&gt;=Design_Width_MAX,1,0))</f>
        <v>#VALUE!</v>
      </c>
      <c r="AD27" s="178" t="e">
        <f>IF($AC27,1+(COUNTIF($AC$15:$AC$38,"&lt;"&amp;$AC27)-COUNTIF($AC$15:$AC$38,"&lt;0.00001")),IF(SheetStatus="Release - FFA",999-COUNTIF($T$15:$T27,"=0")+1,""))</f>
        <v>#VALUE!</v>
      </c>
      <c r="AE27" s="229" t="e">
        <f>IF(T27&lt;&gt;0,ABS(T_Tubes[[#This Row],[NumTurns]]-$AE$9),"")</f>
        <v>#VALUE!</v>
      </c>
      <c r="AF27" s="1" t="str">
        <f t="shared" si="5"/>
        <v/>
      </c>
      <c r="AG27" s="276" t="e">
        <f>IF($AC27,1+(COUNTIF($AC$15:$AC$38,"&lt;"&amp;$AC27)-COUNTIF($AC$15:$AC$38,"&lt;0.00001")),IF(SheetStatus="Release - FFA",999-COUNTIF($AC$15:$AC27,"=0")+1,"0"))</f>
        <v>#VALUE!</v>
      </c>
      <c r="AH27" s="409" t="e">
        <f>IF(AC27&lt;&gt;0,T_Tubes[[#This Row],[Mass/m]],"")</f>
        <v>#VALUE!</v>
      </c>
      <c r="AI27" s="1" t="str">
        <f t="shared" si="6"/>
        <v/>
      </c>
      <c r="AJ27" s="1" t="str">
        <f t="shared" ca="1" si="7"/>
        <v/>
      </c>
      <c r="AK27" s="1" t="str">
        <f t="shared" ca="1" si="8"/>
        <v/>
      </c>
      <c r="AL27" s="1"/>
      <c r="AM27" s="1"/>
      <c r="AN27" s="252" t="str">
        <f t="shared" ca="1" si="9"/>
        <v/>
      </c>
      <c r="AP27" s="467"/>
      <c r="AQ27" s="468"/>
      <c r="AR27" s="468">
        <v>1</v>
      </c>
      <c r="AS27" s="468">
        <v>1</v>
      </c>
      <c r="AT27" s="468"/>
    </row>
    <row r="28" spans="3:46">
      <c r="C28" s="684">
        <v>1</v>
      </c>
      <c r="D28" s="560">
        <v>1</v>
      </c>
      <c r="E28" s="560" t="s">
        <v>420</v>
      </c>
      <c r="F28" s="560">
        <f t="shared" si="0"/>
        <v>1</v>
      </c>
      <c r="G28" s="240" t="s">
        <v>106</v>
      </c>
      <c r="H28" s="14" t="s">
        <v>108</v>
      </c>
      <c r="I28" s="15">
        <v>44.15</v>
      </c>
      <c r="J28" s="75">
        <v>0.60189999999999999</v>
      </c>
      <c r="K28" s="136">
        <v>49036.01</v>
      </c>
      <c r="L28" s="42">
        <f t="shared" si="10"/>
        <v>3334.44868</v>
      </c>
      <c r="M28" s="1"/>
      <c r="N28" s="1">
        <v>5.8</v>
      </c>
      <c r="O28" s="397" t="e">
        <f>(-T_Tubes[[#This Row],[Tube OD]]+SQRT(T_Tubes[[#This Row],[Tube OD]]^2+4*Fabric_Thickness*Design_Drop*1000/PI()))/(2*Fabric_Thickness)</f>
        <v>#VALUE!</v>
      </c>
      <c r="P28" s="1">
        <f>IF(INDEX('3. Hardware Options'!$E$6:$E$50,MATCH(T_Tubes[[#This Row],[Description]],'3. Hardware Options'!$B$6:$B$50,0))="Show",1*SUMPRODUCT(D28,F28,C28),0)</f>
        <v>1</v>
      </c>
      <c r="Q28" s="404" t="e">
        <f>((Design_Width_MAX/S28)*IFERROR(SUMPRODUCT(D28,F28,P28),"-")*IF((S28&gt;Design_Width_MAX*Deflection_limit),0,1)*IF(T_Tubes[[#This Row],[MaxLength]]&gt;=Design_Width_MAX,1,0))*T_Tubes[[#This Row],[Mass/m]]</f>
        <v>#VALUE!</v>
      </c>
      <c r="R28" s="401" t="e">
        <f>IF($Q28,1+(COUNTIF($Q$15:$Q$38,"&lt;"&amp;$Q28)-COUNTIF($Q$15:$Q$38,"&lt;0.00001")),IF(SheetStatus="Release - FFA",999-COUNTIF($T$15:$T28,"=0")+1,""))</f>
        <v>#VALUE!</v>
      </c>
      <c r="S28" s="158" t="e">
        <f t="shared" si="2"/>
        <v>#VALUE!</v>
      </c>
      <c r="T28" s="213" t="e">
        <f>((Design_Width_MAX/S28)*IFERROR(SUMPRODUCT(D28,F28,P28),"-")*IF((S28&gt;Design_Width_MAX*Deflection_limit),0,1)*IF(T_Tubes[[#This Row],[MaxLength]]&gt;=Design_Width_MAX,1,0))</f>
        <v>#VALUE!</v>
      </c>
      <c r="U28" s="276" t="e">
        <f>IF($T28,1+(COUNTIF($T$15:$T$38,"&lt;"&amp;$T28)-COUNTIF($T$15:$T$38,"&lt;0.00001")),IF(SheetStatus="Release - FFA",999-COUNTIF($T$15:$T28,"=0")+1,""))</f>
        <v>#VALUE!</v>
      </c>
      <c r="W28" s="140" t="str">
        <f t="shared" si="3"/>
        <v/>
      </c>
      <c r="X28" s="178"/>
      <c r="Y28" s="1">
        <f>IF(Y27+1&lt;=$U$11,Y27+1,999-COUNT($Y$15:Y27)+$U$11)</f>
        <v>986</v>
      </c>
      <c r="AB28" t="str">
        <f t="shared" si="4"/>
        <v/>
      </c>
      <c r="AC28" s="213" t="e">
        <f>((Design_Width_MAX/S28)*IFERROR(SUMPRODUCT(D28,F28,P28,C28),"-")*IF((S28&gt;Design_Width_MAX*Deflection_limit*$S$7),0,1)*IF(T_Tubes[[#This Row],[MaxLength]]&gt;=Design_Width_MAX,1,0))</f>
        <v>#VALUE!</v>
      </c>
      <c r="AD28" s="178" t="e">
        <f>IF($AC28,1+(COUNTIF($AC$15:$AC$38,"&lt;"&amp;$AC28)-COUNTIF($AC$15:$AC$38,"&lt;0.00001")),IF(SheetStatus="Release - FFA",999-COUNTIF($T$15:$T28,"=0")+1,""))</f>
        <v>#VALUE!</v>
      </c>
      <c r="AE28" s="229" t="e">
        <f>IF(T28&lt;&gt;0,ABS(T_Tubes[[#This Row],[NumTurns]]-$AE$9),"")</f>
        <v>#VALUE!</v>
      </c>
      <c r="AF28" s="1" t="str">
        <f t="shared" si="5"/>
        <v/>
      </c>
      <c r="AG28" s="276" t="e">
        <f>IF($AC28,1+(COUNTIF($AC$15:$AC$38,"&lt;"&amp;$AC28)-COUNTIF($AC$15:$AC$38,"&lt;0.00001")),IF(SheetStatus="Release - FFA",999-COUNTIF($AC$15:$AC28,"=0")+1,"0"))</f>
        <v>#VALUE!</v>
      </c>
      <c r="AH28" s="409" t="e">
        <f>IF(AC28&lt;&gt;0,T_Tubes[[#This Row],[Mass/m]],"")</f>
        <v>#VALUE!</v>
      </c>
      <c r="AI28" s="1" t="str">
        <f t="shared" si="6"/>
        <v/>
      </c>
      <c r="AJ28" s="1" t="str">
        <f t="shared" ca="1" si="7"/>
        <v/>
      </c>
      <c r="AK28" s="1" t="str">
        <f t="shared" ca="1" si="8"/>
        <v/>
      </c>
      <c r="AL28" s="1"/>
      <c r="AM28" s="1"/>
      <c r="AN28" s="252" t="str">
        <f t="shared" ca="1" si="9"/>
        <v/>
      </c>
      <c r="AP28" s="467"/>
      <c r="AQ28" s="468"/>
      <c r="AR28" s="468">
        <v>1</v>
      </c>
      <c r="AS28" s="468">
        <v>1</v>
      </c>
      <c r="AT28" s="468"/>
    </row>
    <row r="29" spans="3:46">
      <c r="C29" s="684">
        <v>1</v>
      </c>
      <c r="D29" s="560">
        <v>1</v>
      </c>
      <c r="E29" s="560" t="s">
        <v>420</v>
      </c>
      <c r="F29" s="560">
        <f t="shared" si="0"/>
        <v>1</v>
      </c>
      <c r="G29" s="240" t="s">
        <v>107</v>
      </c>
      <c r="H29" s="14" t="s">
        <v>90</v>
      </c>
      <c r="I29" s="15">
        <v>49</v>
      </c>
      <c r="J29" s="75">
        <v>1.0462</v>
      </c>
      <c r="K29" s="136">
        <v>100660.56</v>
      </c>
      <c r="L29" s="42">
        <f t="shared" si="10"/>
        <v>6844.9180799999995</v>
      </c>
      <c r="M29" s="1"/>
      <c r="N29" s="1">
        <v>5.8</v>
      </c>
      <c r="O29" s="397" t="e">
        <f>(-T_Tubes[[#This Row],[Tube OD]]+SQRT(T_Tubes[[#This Row],[Tube OD]]^2+4*Fabric_Thickness*Design_Drop*1000/PI()))/(2*Fabric_Thickness)</f>
        <v>#VALUE!</v>
      </c>
      <c r="P29" s="1">
        <f>IF(INDEX('3. Hardware Options'!$E$6:$E$50,MATCH(T_Tubes[[#This Row],[Description]],'3. Hardware Options'!$B$6:$B$50,0))="Show",1*SUMPRODUCT(D29,F29,C29),0)</f>
        <v>1</v>
      </c>
      <c r="Q29" s="404" t="e">
        <f>((Design_Width_MAX/S29)*IFERROR(SUMPRODUCT(D29,F29,P29),"-")*IF((S29&gt;Design_Width_MAX*Deflection_limit),0,1)*IF(T_Tubes[[#This Row],[MaxLength]]&gt;=Design_Width_MAX,1,0))*T_Tubes[[#This Row],[Mass/m]]</f>
        <v>#VALUE!</v>
      </c>
      <c r="R29" s="401" t="e">
        <f>IF($Q29,1+(COUNTIF($Q$15:$Q$38,"&lt;"&amp;$Q29)-COUNTIF($Q$15:$Q$38,"&lt;0.00001")),IF(SheetStatus="Release - FFA",999-COUNTIF($T$15:$T29,"=0")+1,""))</f>
        <v>#VALUE!</v>
      </c>
      <c r="S29" s="158" t="e">
        <f t="shared" si="2"/>
        <v>#VALUE!</v>
      </c>
      <c r="T29" s="213" t="e">
        <f>((Design_Width_MAX/S29)*IFERROR(SUMPRODUCT(D29,F29,P29),"-")*IF((S29&gt;Design_Width_MAX*Deflection_limit),0,1)*IF(T_Tubes[[#This Row],[MaxLength]]&gt;=Design_Width_MAX,1,0))</f>
        <v>#VALUE!</v>
      </c>
      <c r="U29" s="276" t="e">
        <f>IF($T29,1+(COUNTIF($T$15:$T$38,"&lt;"&amp;$T29)-COUNTIF($T$15:$T$38,"&lt;0.00001")),IF(SheetStatus="Release - FFA",999-COUNTIF($T$15:$T29,"=0")+1,""))</f>
        <v>#VALUE!</v>
      </c>
      <c r="W29" s="140" t="str">
        <f t="shared" si="3"/>
        <v/>
      </c>
      <c r="X29" s="178"/>
      <c r="Y29" s="1">
        <f>IF(Y28+1&lt;=$U$11,Y28+1,999-COUNT($Y$15:Y28)+$U$11)</f>
        <v>985</v>
      </c>
      <c r="AB29" t="str">
        <f t="shared" si="4"/>
        <v/>
      </c>
      <c r="AC29" s="213" t="e">
        <f>((Design_Width_MAX/S29)*IFERROR(SUMPRODUCT(D29,F29,P29,C29),"-")*IF((S29&gt;Design_Width_MAX*Deflection_limit*$S$7),0,1)*IF(T_Tubes[[#This Row],[MaxLength]]&gt;=Design_Width_MAX,1,0))</f>
        <v>#VALUE!</v>
      </c>
      <c r="AD29" s="178" t="e">
        <f>IF($AC29,1+(COUNTIF($AC$15:$AC$38,"&lt;"&amp;$AC29)-COUNTIF($AC$15:$AC$38,"&lt;0.00001")),IF(SheetStatus="Release - FFA",999-COUNTIF($T$15:$T29,"=0")+1,""))</f>
        <v>#VALUE!</v>
      </c>
      <c r="AE29" s="229" t="e">
        <f>IF(T29&lt;&gt;0,ABS(T_Tubes[[#This Row],[NumTurns]]-$AE$9),"")</f>
        <v>#VALUE!</v>
      </c>
      <c r="AF29" s="1" t="str">
        <f t="shared" si="5"/>
        <v/>
      </c>
      <c r="AG29" s="276" t="e">
        <f>IF($AC29,1+(COUNTIF($AC$15:$AC$38,"&lt;"&amp;$AC29)-COUNTIF($AC$15:$AC$38,"&lt;0.00001")),IF(SheetStatus="Release - FFA",999-COUNTIF($AC$15:$AC29,"=0")+1,"0"))</f>
        <v>#VALUE!</v>
      </c>
      <c r="AH29" s="409" t="e">
        <f>IF(AC29&lt;&gt;0,T_Tubes[[#This Row],[Mass/m]],"")</f>
        <v>#VALUE!</v>
      </c>
      <c r="AI29" s="1" t="str">
        <f t="shared" si="6"/>
        <v/>
      </c>
      <c r="AJ29" s="1" t="str">
        <f t="shared" ca="1" si="7"/>
        <v/>
      </c>
      <c r="AK29" s="1" t="str">
        <f t="shared" ca="1" si="8"/>
        <v/>
      </c>
      <c r="AL29" s="1"/>
      <c r="AM29" s="1"/>
      <c r="AN29" s="252" t="str">
        <f t="shared" ca="1" si="9"/>
        <v/>
      </c>
      <c r="AP29" s="467"/>
      <c r="AQ29" s="468"/>
      <c r="AR29" s="468">
        <v>1</v>
      </c>
      <c r="AS29" s="468">
        <v>1</v>
      </c>
      <c r="AT29" s="468"/>
    </row>
    <row r="30" spans="3:46">
      <c r="C30" s="683">
        <f t="shared" ref="C30:C38" si="12">IF(i_ControlType="Easy Spring Air",0,1)</f>
        <v>1</v>
      </c>
      <c r="D30" s="560">
        <v>1</v>
      </c>
      <c r="E30" s="560" t="s">
        <v>420</v>
      </c>
      <c r="F30" s="560">
        <f t="shared" si="0"/>
        <v>1</v>
      </c>
      <c r="G30" s="240" t="s">
        <v>87</v>
      </c>
      <c r="H30" s="14" t="s">
        <v>102</v>
      </c>
      <c r="I30" s="15">
        <v>60</v>
      </c>
      <c r="J30" s="15">
        <v>1.19</v>
      </c>
      <c r="K30" s="136">
        <v>174117</v>
      </c>
      <c r="L30" s="42">
        <f t="shared" si="10"/>
        <v>11839.956</v>
      </c>
      <c r="M30" s="1"/>
      <c r="N30" s="1">
        <v>5.8</v>
      </c>
      <c r="O30" s="397" t="e">
        <f>(-T_Tubes[[#This Row],[Tube OD]]+SQRT(T_Tubes[[#This Row],[Tube OD]]^2+4*Fabric_Thickness*Design_Drop*1000/PI()))/(2*Fabric_Thickness)</f>
        <v>#VALUE!</v>
      </c>
      <c r="P30" s="1">
        <f>IF(INDEX('3. Hardware Options'!$E$6:$E$50,MATCH(T_Tubes[[#This Row],[Description]],'3. Hardware Options'!$B$6:$B$50,0))="Show",1*SUMPRODUCT(D30,F30,C30),0)</f>
        <v>1</v>
      </c>
      <c r="Q30" s="404" t="e">
        <f>((Design_Width_MAX/S30)*IFERROR(SUMPRODUCT(D30,F30,P30),"-")*IF((S30&gt;Design_Width_MAX*Deflection_limit),0,1)*IF(T_Tubes[[#This Row],[MaxLength]]&gt;=Design_Width_MAX,1,0))*T_Tubes[[#This Row],[Mass/m]]</f>
        <v>#VALUE!</v>
      </c>
      <c r="R30" s="401" t="e">
        <f>IF($Q30,1+(COUNTIF($Q$15:$Q$38,"&lt;"&amp;$Q30)-COUNTIF($Q$15:$Q$38,"&lt;0.00001")),IF(SheetStatus="Release - FFA",999-COUNTIF($T$15:$T30,"=0")+1,""))</f>
        <v>#VALUE!</v>
      </c>
      <c r="S30" s="158" t="e">
        <f t="shared" si="2"/>
        <v>#VALUE!</v>
      </c>
      <c r="T30" s="213" t="e">
        <f>((Design_Width_MAX/S30)*IFERROR(SUMPRODUCT(D30,F30,P30),"-")*IF((S30&gt;Design_Width_MAX*Deflection_limit),0,1)*IF(T_Tubes[[#This Row],[MaxLength]]&gt;=Design_Width_MAX,1,0))</f>
        <v>#VALUE!</v>
      </c>
      <c r="U30" s="276" t="e">
        <f>IF($T30,1+(COUNTIF($T$15:$T$38,"&lt;"&amp;$T30)-COUNTIF($T$15:$T$38,"&lt;0.00001")),IF(SheetStatus="Release - FFA",999-COUNTIF($T$15:$T30,"=0")+1,""))</f>
        <v>#VALUE!</v>
      </c>
      <c r="W30" s="140" t="str">
        <f t="shared" si="3"/>
        <v/>
      </c>
      <c r="X30" s="178"/>
      <c r="Y30" s="1">
        <f>IF(Y29+1&lt;=$U$11,Y29+1,999-COUNT($Y$15:Y29)+$U$11)</f>
        <v>984</v>
      </c>
      <c r="AB30" t="str">
        <f t="shared" si="4"/>
        <v/>
      </c>
      <c r="AC30" s="213" t="e">
        <f>((Design_Width_MAX/S30)*IFERROR(SUMPRODUCT(D30,F30,P30,C30),"-")*IF((S30&gt;Design_Width_MAX*Deflection_limit*$S$7),0,1)*IF(T_Tubes[[#This Row],[MaxLength]]&gt;=Design_Width_MAX,1,0))</f>
        <v>#VALUE!</v>
      </c>
      <c r="AD30" s="178" t="e">
        <f>IF($AC30,1+(COUNTIF($AC$15:$AC$38,"&lt;"&amp;$AC30)-COUNTIF($AC$15:$AC$38,"&lt;0.00001")),IF(SheetStatus="Release - FFA",999-COUNTIF($T$15:$T30,"=0")+1,""))</f>
        <v>#VALUE!</v>
      </c>
      <c r="AE30" s="229" t="e">
        <f>IF(T30&lt;&gt;0,ABS(T_Tubes[[#This Row],[NumTurns]]-$AE$9),"")</f>
        <v>#VALUE!</v>
      </c>
      <c r="AF30" s="1" t="str">
        <f t="shared" si="5"/>
        <v/>
      </c>
      <c r="AG30" s="276" t="e">
        <f>IF($AC30,1+(COUNTIF($AC$15:$AC$38,"&lt;"&amp;$AC30)-COUNTIF($AC$15:$AC$38,"&lt;0.00001")),IF(SheetStatus="Release - FFA",999-COUNTIF($AC$15:$AC30,"=0")+1,"0"))</f>
        <v>#VALUE!</v>
      </c>
      <c r="AH30" s="409" t="e">
        <f>IF(AC30&lt;&gt;0,T_Tubes[[#This Row],[Mass/m]],"")</f>
        <v>#VALUE!</v>
      </c>
      <c r="AI30" s="1" t="str">
        <f t="shared" si="6"/>
        <v/>
      </c>
      <c r="AJ30" s="158" t="str">
        <f t="shared" ca="1" si="7"/>
        <v/>
      </c>
      <c r="AK30" s="1" t="str">
        <f t="shared" ca="1" si="8"/>
        <v/>
      </c>
      <c r="AL30" s="1"/>
      <c r="AM30" s="1"/>
      <c r="AN30" s="252" t="str">
        <f t="shared" ca="1" si="9"/>
        <v/>
      </c>
      <c r="AP30" s="605">
        <f>IF(i_Control=RB09_S45,,1)</f>
        <v>1</v>
      </c>
      <c r="AQ30" s="468"/>
      <c r="AR30" s="468"/>
      <c r="AS30" s="468"/>
      <c r="AT30" s="468"/>
    </row>
    <row r="31" spans="3:46">
      <c r="C31" s="683">
        <f t="shared" si="12"/>
        <v>1</v>
      </c>
      <c r="D31" s="560">
        <v>1</v>
      </c>
      <c r="E31" s="560" t="s">
        <v>420</v>
      </c>
      <c r="F31" s="560">
        <f t="shared" si="0"/>
        <v>1</v>
      </c>
      <c r="G31" s="240" t="s">
        <v>104</v>
      </c>
      <c r="H31" s="14" t="s">
        <v>103</v>
      </c>
      <c r="I31" s="15">
        <v>80</v>
      </c>
      <c r="J31" s="15">
        <v>2.04</v>
      </c>
      <c r="K31" s="136">
        <v>486059</v>
      </c>
      <c r="L31" s="42">
        <f>(K31*10^-12)*AL_E</f>
        <v>33052.012000000002</v>
      </c>
      <c r="M31" s="1"/>
      <c r="N31" s="1">
        <v>5.8</v>
      </c>
      <c r="O31" s="397" t="e">
        <f>(-T_Tubes[[#This Row],[Tube OD]]+SQRT(T_Tubes[[#This Row],[Tube OD]]^2+4*Fabric_Thickness*Design_Drop*1000/PI()))/(2*Fabric_Thickness)</f>
        <v>#VALUE!</v>
      </c>
      <c r="P31" s="1">
        <f>IF(INDEX('3. Hardware Options'!$E$6:$E$50,MATCH(T_Tubes[[#This Row],[Description]],'3. Hardware Options'!$B$6:$B$50,0))="Show",1*SUMPRODUCT(D31,F31,C31),0)</f>
        <v>1</v>
      </c>
      <c r="Q31" s="404" t="e">
        <f>((Design_Width_MAX/S31)*IFERROR(SUMPRODUCT(D31,F31,P31),"-")*IF((S31&gt;Design_Width_MAX*Deflection_limit),0,1)*IF(T_Tubes[[#This Row],[MaxLength]]&gt;=Design_Width_MAX,1,0))*T_Tubes[[#This Row],[Mass/m]]</f>
        <v>#VALUE!</v>
      </c>
      <c r="R31" s="401" t="e">
        <f>IF($Q31,1+(COUNTIF($Q$15:$Q$38,"&lt;"&amp;$Q31)-COUNTIF($Q$15:$Q$38,"&lt;0.00001")),IF(SheetStatus="Release - FFA",999-COUNTIF($T$15:$T31,"=0")+1,""))</f>
        <v>#VALUE!</v>
      </c>
      <c r="S31" s="158" t="e">
        <f t="shared" si="2"/>
        <v>#VALUE!</v>
      </c>
      <c r="T31" s="213" t="e">
        <f>((Design_Width_MAX/S31)*IFERROR(SUMPRODUCT(D31,F31,P31),"-")*IF((S31&gt;Design_Width_MAX*Deflection_limit),0,1)*IF(T_Tubes[[#This Row],[MaxLength]]&gt;=Design_Width_MAX,1,0))</f>
        <v>#VALUE!</v>
      </c>
      <c r="U31" s="276" t="e">
        <f>IF($T31,1+(COUNTIF($T$15:$T$38,"&lt;"&amp;$T31)-COUNTIF($T$15:$T$38,"&lt;0.00001")),IF(SheetStatus="Release - FFA",999-COUNTIF($T$15:$T31,"=0")+1,""))</f>
        <v>#VALUE!</v>
      </c>
      <c r="W31" s="140" t="str">
        <f t="shared" si="3"/>
        <v/>
      </c>
      <c r="X31" s="178"/>
      <c r="Y31" s="1">
        <f>IF(Y30+1&lt;=$U$11,Y30+1,999-COUNT($Y$15:Y30)+$U$11)</f>
        <v>983</v>
      </c>
      <c r="AB31" t="str">
        <f t="shared" si="4"/>
        <v/>
      </c>
      <c r="AC31" s="213" t="e">
        <f>((Design_Width_MAX/S31)*IFERROR(SUMPRODUCT(D31,F31,P31,C31),"-")*IF((S31&gt;Design_Width_MAX*Deflection_limit*$S$7),0,1)*IF(T_Tubes[[#This Row],[MaxLength]]&gt;=Design_Width_MAX,1,0))</f>
        <v>#VALUE!</v>
      </c>
      <c r="AD31" s="178" t="e">
        <f>IF($AC31,1+(COUNTIF($AC$15:$AC$38,"&lt;"&amp;$AC31)-COUNTIF($AC$15:$AC$38,"&lt;0.00001")),IF(SheetStatus="Release - FFA",999-COUNTIF($T$15:$T31,"=0")+1,""))</f>
        <v>#VALUE!</v>
      </c>
      <c r="AE31" s="229" t="e">
        <f>IF(T31&lt;&gt;0,ABS(T_Tubes[[#This Row],[NumTurns]]-$AE$9),"")</f>
        <v>#VALUE!</v>
      </c>
      <c r="AF31" s="1" t="str">
        <f t="shared" si="5"/>
        <v/>
      </c>
      <c r="AG31" s="276" t="e">
        <f>IF($AC31,1+(COUNTIF($AC$15:$AC$38,"&lt;"&amp;$AC31)-COUNTIF($AC$15:$AC$38,"&lt;0.00001")),IF(SheetStatus="Release - FFA",999-COUNTIF($AC$15:$AC31,"=0")+1,"0"))</f>
        <v>#VALUE!</v>
      </c>
      <c r="AH31" s="409" t="e">
        <f>IF(AC31&lt;&gt;0,T_Tubes[[#This Row],[Mass/m]],"")</f>
        <v>#VALUE!</v>
      </c>
      <c r="AI31" s="1" t="str">
        <f t="shared" si="6"/>
        <v/>
      </c>
      <c r="AJ31" s="158" t="str">
        <f t="shared" ca="1" si="7"/>
        <v/>
      </c>
      <c r="AK31" s="1" t="str">
        <f t="shared" ca="1" si="8"/>
        <v/>
      </c>
      <c r="AL31" s="1"/>
      <c r="AM31" s="1"/>
      <c r="AN31" s="252" t="str">
        <f t="shared" ca="1" si="9"/>
        <v/>
      </c>
      <c r="AP31" s="467">
        <v>1</v>
      </c>
      <c r="AQ31" s="468"/>
      <c r="AR31" s="468"/>
      <c r="AS31" s="468"/>
      <c r="AT31" s="468"/>
    </row>
    <row r="32" spans="3:46">
      <c r="C32" s="683">
        <f t="shared" si="12"/>
        <v>1</v>
      </c>
      <c r="D32" s="560">
        <v>1</v>
      </c>
      <c r="E32" s="560" t="s">
        <v>420</v>
      </c>
      <c r="F32" s="560">
        <f t="shared" si="0"/>
        <v>1</v>
      </c>
      <c r="G32" s="240" t="s">
        <v>173</v>
      </c>
      <c r="H32" s="14" t="s">
        <v>590</v>
      </c>
      <c r="I32" s="15">
        <v>65</v>
      </c>
      <c r="J32" s="15">
        <v>1.073</v>
      </c>
      <c r="K32" s="136">
        <v>179064</v>
      </c>
      <c r="L32" s="42">
        <f>(K32*10^-12)*AL_E</f>
        <v>12176.351999999999</v>
      </c>
      <c r="M32" s="1">
        <v>12</v>
      </c>
      <c r="N32" s="1">
        <v>5.8</v>
      </c>
      <c r="O32" s="397" t="e">
        <f>(-T_Tubes[[#This Row],[Tube OD]]+SQRT(T_Tubes[[#This Row],[Tube OD]]^2+4*Fabric_Thickness*Design_Drop*1000/PI()))/(2*Fabric_Thickness)</f>
        <v>#VALUE!</v>
      </c>
      <c r="P32" s="1">
        <f>IF(INDEX('3. Hardware Options'!$E$6:$E$50,MATCH(T_Tubes[[#This Row],[Description]],'3. Hardware Options'!$B$6:$B$50,0))="Show",1*SUMPRODUCT(D32,F32,C32),0)</f>
        <v>1</v>
      </c>
      <c r="Q32" s="404" t="e">
        <f>((Design_Width_MAX/S32)*IFERROR(SUMPRODUCT(D32,F32,P32),"-")*IF((S32&gt;Design_Width_MAX*Deflection_limit),0,1)*IF(T_Tubes[[#This Row],[MaxLength]]&gt;=Design_Width_MAX,1,0))*T_Tubes[[#This Row],[Mass/m]]</f>
        <v>#VALUE!</v>
      </c>
      <c r="R32" s="401" t="e">
        <f>IF($Q32,1+(COUNTIF($Q$15:$Q$38,"&lt;"&amp;$Q32)-COUNTIF($Q$15:$Q$38,"&lt;0.00001")),IF(SheetStatus="Release - FFA",999-COUNTIF($T$15:$T32,"=0")+1,""))</f>
        <v>#VALUE!</v>
      </c>
      <c r="S32" s="158" t="e">
        <f t="shared" si="2"/>
        <v>#VALUE!</v>
      </c>
      <c r="T32" s="213" t="e">
        <f>((Design_Width_MAX/S32)*IFERROR(SUMPRODUCT(D32,F32,P32),"-")*IF((S32&gt;Design_Width_MAX*Deflection_limit),0,1)*IF(T_Tubes[[#This Row],[MaxLength]]&gt;=Design_Width_MAX,1,0))</f>
        <v>#VALUE!</v>
      </c>
      <c r="U32" s="276" t="e">
        <f>IF($T32,1+(COUNTIF($T$15:$T$38,"&lt;"&amp;$T32)-COUNTIF($T$15:$T$38,"&lt;0.00001")),IF(SheetStatus="Release - FFA",999-COUNTIF($T$15:$T32,"=0")+1,""))</f>
        <v>#VALUE!</v>
      </c>
      <c r="W32" s="140" t="str">
        <f t="shared" si="3"/>
        <v/>
      </c>
      <c r="X32" s="178"/>
      <c r="Y32" s="1">
        <f>IF(Y31+1&lt;=$U$11,Y31+1,999-COUNT($Y$15:Y31)+$U$11)</f>
        <v>982</v>
      </c>
      <c r="AB32" t="str">
        <f t="shared" si="4"/>
        <v/>
      </c>
      <c r="AC32" s="213" t="e">
        <f>((Design_Width_MAX/S32)*IFERROR(SUMPRODUCT(D32,F32,P32,C32),"-")*IF((S32&gt;Design_Width_MAX*Deflection_limit*$S$7),0,1)*IF(T_Tubes[[#This Row],[MaxLength]]&gt;=Design_Width_MAX,1,0))</f>
        <v>#VALUE!</v>
      </c>
      <c r="AD32" s="178" t="e">
        <f>IF($AC32,1+(COUNTIF($AC$15:$AC$38,"&lt;"&amp;$AC32)-COUNTIF($AC$15:$AC$38,"&lt;0.00001")),IF(SheetStatus="Release - FFA",999-COUNTIF($T$15:$T32,"=0")+1,""))</f>
        <v>#VALUE!</v>
      </c>
      <c r="AE32" s="229" t="e">
        <f>IF(T32&lt;&gt;0,ABS(T_Tubes[[#This Row],[NumTurns]]-$AE$9),"")</f>
        <v>#VALUE!</v>
      </c>
      <c r="AF32" s="1" t="str">
        <f t="shared" si="5"/>
        <v/>
      </c>
      <c r="AG32" s="276" t="e">
        <f>IF($AC32,1+(COUNTIF($AC$15:$AC$38,"&lt;"&amp;$AC32)-COUNTIF($AC$15:$AC$38,"&lt;0.00001")),IF(SheetStatus="Release - FFA",999-COUNTIF($AC$15:$AC32,"=0")+1,"0"))</f>
        <v>#VALUE!</v>
      </c>
      <c r="AH32" s="409" t="e">
        <f>IF(AC32&lt;&gt;0,T_Tubes[[#This Row],[Mass/m]],"")</f>
        <v>#VALUE!</v>
      </c>
      <c r="AI32" s="1" t="str">
        <f t="shared" si="6"/>
        <v/>
      </c>
      <c r="AJ32" s="158" t="str">
        <f t="shared" ca="1" si="7"/>
        <v/>
      </c>
      <c r="AK32" s="1" t="str">
        <f t="shared" ca="1" si="8"/>
        <v/>
      </c>
      <c r="AL32" s="1"/>
      <c r="AM32" s="1"/>
      <c r="AN32" s="252" t="str">
        <f t="shared" ca="1" si="9"/>
        <v/>
      </c>
      <c r="AP32" s="467"/>
      <c r="AQ32" s="468"/>
      <c r="AR32" s="468"/>
      <c r="AS32" s="468"/>
      <c r="AT32" s="468"/>
    </row>
    <row r="33" spans="3:46">
      <c r="C33" s="683">
        <f t="shared" si="12"/>
        <v>1</v>
      </c>
      <c r="D33" s="560">
        <v>1</v>
      </c>
      <c r="E33" s="560" t="s">
        <v>420</v>
      </c>
      <c r="F33" s="560">
        <f t="shared" si="0"/>
        <v>1</v>
      </c>
      <c r="G33" s="240" t="s">
        <v>159</v>
      </c>
      <c r="H33" s="183" t="s">
        <v>591</v>
      </c>
      <c r="I33" s="15">
        <v>80</v>
      </c>
      <c r="J33" s="15">
        <v>1.4836</v>
      </c>
      <c r="K33" s="136">
        <v>373912</v>
      </c>
      <c r="L33" s="42">
        <f t="shared" si="10"/>
        <v>25426.016</v>
      </c>
      <c r="M33" s="1">
        <v>12</v>
      </c>
      <c r="N33" s="1">
        <v>5.8</v>
      </c>
      <c r="O33" s="397" t="e">
        <f>(-T_Tubes[[#This Row],[Tube OD]]+SQRT(T_Tubes[[#This Row],[Tube OD]]^2+4*Fabric_Thickness*Design_Drop*1000/PI()))/(2*Fabric_Thickness)</f>
        <v>#VALUE!</v>
      </c>
      <c r="P33" s="1">
        <f>IF(INDEX('3. Hardware Options'!$E$6:$E$50,MATCH(T_Tubes[[#This Row],[Description]],'3. Hardware Options'!$B$6:$B$50,0))="Show",1*SUMPRODUCT(D33,F33,C33),0)</f>
        <v>1</v>
      </c>
      <c r="Q33" s="404" t="e">
        <f>((Design_Width_MAX/S33)*IFERROR(SUMPRODUCT(D33,F33,P33),"-")*IF((S33&gt;Design_Width_MAX*Deflection_limit),0,1)*IF(T_Tubes[[#This Row],[MaxLength]]&gt;=Design_Width_MAX,1,0))*T_Tubes[[#This Row],[Mass/m]]</f>
        <v>#VALUE!</v>
      </c>
      <c r="R33" s="401" t="e">
        <f>IF($Q33,1+(COUNTIF($Q$15:$Q$38,"&lt;"&amp;$Q33)-COUNTIF($Q$15:$Q$38,"&lt;0.00001")),IF(SheetStatus="Release - FFA",999-COUNTIF($T$15:$T33,"=0")+1,""))</f>
        <v>#VALUE!</v>
      </c>
      <c r="S33" s="158" t="e">
        <f t="shared" si="2"/>
        <v>#VALUE!</v>
      </c>
      <c r="T33" s="213" t="e">
        <f>((Design_Width_MAX/S33)*IFERROR(SUMPRODUCT(D33,F33,P33),"-")*IF((S33&gt;Design_Width_MAX*Deflection_limit),0,1)*IF(T_Tubes[[#This Row],[MaxLength]]&gt;=Design_Width_MAX,1,0))</f>
        <v>#VALUE!</v>
      </c>
      <c r="U33" s="276" t="e">
        <f>IF($T33,1+(COUNTIF($T$15:$T$38,"&lt;"&amp;$T33)-COUNTIF($T$15:$T$38,"&lt;0.00001")),IF(SheetStatus="Release - FFA",999-COUNTIF($T$15:$T33,"=0")+1,""))</f>
        <v>#VALUE!</v>
      </c>
      <c r="W33" s="140" t="str">
        <f t="shared" si="3"/>
        <v/>
      </c>
      <c r="X33" s="178"/>
      <c r="Y33" s="1">
        <f>IF(Y32+1&lt;=$U$11,Y32+1,999-COUNT($Y$15:Y32)+$U$11)</f>
        <v>981</v>
      </c>
      <c r="AB33" t="str">
        <f t="shared" si="4"/>
        <v/>
      </c>
      <c r="AC33" s="213" t="e">
        <f>((Design_Width_MAX/S33)*IFERROR(SUMPRODUCT(D33,F33,P33,C33),"-")*IF((S33&gt;Design_Width_MAX*Deflection_limit*$S$7),0,1)*IF(T_Tubes[[#This Row],[MaxLength]]&gt;=Design_Width_MAX,1,0))</f>
        <v>#VALUE!</v>
      </c>
      <c r="AD33" s="178" t="e">
        <f>IF($AC33,1+(COUNTIF($AC$15:$AC$38,"&lt;"&amp;$AC33)-COUNTIF($AC$15:$AC$38,"&lt;0.00001")),IF(SheetStatus="Release - FFA",999-COUNTIF($T$15:$T33,"=0")+1,""))</f>
        <v>#VALUE!</v>
      </c>
      <c r="AE33" s="229" t="e">
        <f>IF(T33&lt;&gt;0,ABS(T_Tubes[[#This Row],[NumTurns]]-$AE$9),"")</f>
        <v>#VALUE!</v>
      </c>
      <c r="AF33" s="1" t="str">
        <f t="shared" si="5"/>
        <v/>
      </c>
      <c r="AG33" s="276" t="e">
        <f>IF($AC33,1+(COUNTIF($AC$15:$AC$38,"&lt;"&amp;$AC33)-COUNTIF($AC$15:$AC$38,"&lt;0.00001")),IF(SheetStatus="Release - FFA",999-COUNTIF($AC$15:$AC33,"=0")+1,"0"))</f>
        <v>#VALUE!</v>
      </c>
      <c r="AH33" s="409" t="e">
        <f>IF(AC33&lt;&gt;0,T_Tubes[[#This Row],[Mass/m]],"")</f>
        <v>#VALUE!</v>
      </c>
      <c r="AI33" s="1" t="str">
        <f t="shared" si="6"/>
        <v/>
      </c>
      <c r="AJ33" s="158" t="str">
        <f t="shared" ca="1" si="7"/>
        <v/>
      </c>
      <c r="AK33" s="1" t="str">
        <f t="shared" ca="1" si="8"/>
        <v/>
      </c>
      <c r="AL33" s="1"/>
      <c r="AM33" s="1"/>
      <c r="AN33" s="252" t="str">
        <f t="shared" ca="1" si="9"/>
        <v/>
      </c>
      <c r="AP33" s="467"/>
      <c r="AQ33" s="468"/>
      <c r="AR33" s="468"/>
      <c r="AS33" s="468"/>
      <c r="AT33" s="468"/>
    </row>
    <row r="34" spans="3:46">
      <c r="C34" s="683">
        <f t="shared" si="12"/>
        <v>1</v>
      </c>
      <c r="D34" s="560">
        <v>1</v>
      </c>
      <c r="E34" s="560" t="s">
        <v>420</v>
      </c>
      <c r="F34" s="560">
        <f t="shared" si="0"/>
        <v>1</v>
      </c>
      <c r="G34" s="240" t="s">
        <v>161</v>
      </c>
      <c r="H34" s="183" t="s">
        <v>592</v>
      </c>
      <c r="I34" s="15">
        <v>81.599999999999994</v>
      </c>
      <c r="J34" s="15">
        <v>2.0390000000000001</v>
      </c>
      <c r="K34" s="136">
        <v>563190</v>
      </c>
      <c r="L34" s="42">
        <f t="shared" ref="L34" si="13">(K34*10^-12)*AL_E</f>
        <v>38296.92</v>
      </c>
      <c r="M34" s="1">
        <v>14</v>
      </c>
      <c r="N34" s="1">
        <v>5.8</v>
      </c>
      <c r="O34" s="397" t="e">
        <f>(-T_Tubes[[#This Row],[Tube OD]]+SQRT(T_Tubes[[#This Row],[Tube OD]]^2+4*Fabric_Thickness*Design_Drop*1000/PI()))/(2*Fabric_Thickness)</f>
        <v>#VALUE!</v>
      </c>
      <c r="P34" s="1">
        <f>IF(INDEX('3. Hardware Options'!$E$6:$E$50,MATCH(T_Tubes[[#This Row],[Description]],'3. Hardware Options'!$B$6:$B$50,0))="Show",1*SUMPRODUCT(D34,F34,C34),0)</f>
        <v>1</v>
      </c>
      <c r="Q34" s="404" t="e">
        <f>((Design_Width_MAX/S34)*IFERROR(SUMPRODUCT(D34,F34,P34),"-")*IF((S34&gt;Design_Width_MAX*Deflection_limit),0,1)*IF(T_Tubes[[#This Row],[MaxLength]]&gt;=Design_Width_MAX,1,0))*T_Tubes[[#This Row],[Mass/m]]</f>
        <v>#VALUE!</v>
      </c>
      <c r="R34" s="401" t="e">
        <f>IF($Q34,1+(COUNTIF($Q$15:$Q$38,"&lt;"&amp;$Q34)-COUNTIF($Q$15:$Q$38,"&lt;0.00001")),IF(SheetStatus="Release - FFA",999-COUNTIF($T$15:$T34,"=0")+1,""))</f>
        <v>#VALUE!</v>
      </c>
      <c r="S34" s="158" t="e">
        <f t="shared" si="2"/>
        <v>#VALUE!</v>
      </c>
      <c r="T34" s="213" t="e">
        <f>((Design_Width_MAX/S34)*IFERROR(SUMPRODUCT(D34,F34,P34),"-")*IF((S34&gt;Design_Width_MAX*Deflection_limit),0,1)*IF(T_Tubes[[#This Row],[MaxLength]]&gt;=Design_Width_MAX,1,0))</f>
        <v>#VALUE!</v>
      </c>
      <c r="U34" s="276" t="e">
        <f>IF($T34,1+(COUNTIF($T$15:$T$38,"&lt;"&amp;$T34)-COUNTIF($T$15:$T$38,"&lt;0.00001")),IF(SheetStatus="Release - FFA",999-COUNTIF($T$15:$T34,"=0")+1,""))</f>
        <v>#VALUE!</v>
      </c>
      <c r="W34" s="140" t="str">
        <f t="shared" si="3"/>
        <v/>
      </c>
      <c r="X34" s="178"/>
      <c r="Y34" s="1">
        <f>IF(Y33+1&lt;=$U$11,Y33+1,999-COUNT($Y$15:Y33)+$U$11)</f>
        <v>980</v>
      </c>
      <c r="AB34" t="str">
        <f t="shared" si="4"/>
        <v/>
      </c>
      <c r="AC34" s="213" t="e">
        <f>((Design_Width_MAX/S34)*IFERROR(SUMPRODUCT(D34,F34,P34,C34),"-")*IF((S34&gt;Design_Width_MAX*Deflection_limit*$S$7),0,1)*IF(T_Tubes[[#This Row],[MaxLength]]&gt;=Design_Width_MAX,1,0))</f>
        <v>#VALUE!</v>
      </c>
      <c r="AD34" s="178" t="e">
        <f>IF($AC34,1+(COUNTIF($AC$15:$AC$38,"&lt;"&amp;$AC34)-COUNTIF($AC$15:$AC$38,"&lt;0.00001")),IF(SheetStatus="Release - FFA",999-COUNTIF($T$15:$T34,"=0")+1,""))</f>
        <v>#VALUE!</v>
      </c>
      <c r="AE34" s="229" t="e">
        <f>IF(T34&lt;&gt;0,ABS(T_Tubes[[#This Row],[NumTurns]]-$AE$9),"")</f>
        <v>#VALUE!</v>
      </c>
      <c r="AF34" s="1" t="str">
        <f t="shared" si="5"/>
        <v/>
      </c>
      <c r="AG34" s="276" t="e">
        <f>IF($AC34,1+(COUNTIF($AC$15:$AC$38,"&lt;"&amp;$AC34)-COUNTIF($AC$15:$AC$38,"&lt;0.00001")),IF(SheetStatus="Release - FFA",999-COUNTIF($AC$15:$AC34,"=0")+1,"0"))</f>
        <v>#VALUE!</v>
      </c>
      <c r="AH34" s="409" t="e">
        <f>IF(AC34&lt;&gt;0,T_Tubes[[#This Row],[Mass/m]],"")</f>
        <v>#VALUE!</v>
      </c>
      <c r="AI34" s="1" t="str">
        <f t="shared" si="6"/>
        <v/>
      </c>
      <c r="AJ34" s="158" t="str">
        <f t="shared" ca="1" si="7"/>
        <v/>
      </c>
      <c r="AK34" s="1" t="str">
        <f t="shared" ca="1" si="8"/>
        <v/>
      </c>
      <c r="AL34" s="1"/>
      <c r="AM34" s="1"/>
      <c r="AN34" s="252" t="str">
        <f t="shared" ca="1" si="9"/>
        <v/>
      </c>
      <c r="AP34" s="467"/>
      <c r="AQ34" s="468"/>
      <c r="AR34" s="468"/>
      <c r="AS34" s="468"/>
      <c r="AT34" s="468"/>
    </row>
    <row r="35" spans="3:46">
      <c r="C35" s="683">
        <f t="shared" si="12"/>
        <v>1</v>
      </c>
      <c r="D35" s="560">
        <v>1</v>
      </c>
      <c r="E35" s="560" t="s">
        <v>420</v>
      </c>
      <c r="F35" s="560">
        <f t="shared" si="0"/>
        <v>1</v>
      </c>
      <c r="G35" s="240" t="s">
        <v>163</v>
      </c>
      <c r="H35" s="183" t="s">
        <v>593</v>
      </c>
      <c r="I35" s="15">
        <v>78</v>
      </c>
      <c r="J35" s="15">
        <v>2.3477000000000001</v>
      </c>
      <c r="K35" s="136">
        <v>180026</v>
      </c>
      <c r="L35" s="262">
        <f>(K35*10^-12)*Steel_E</f>
        <v>36005.199999999997</v>
      </c>
      <c r="M35" s="1">
        <v>12</v>
      </c>
      <c r="N35" s="1">
        <v>5.8</v>
      </c>
      <c r="O35" s="397" t="e">
        <f>(-T_Tubes[[#This Row],[Tube OD]]+SQRT(T_Tubes[[#This Row],[Tube OD]]^2+4*Fabric_Thickness*Design_Drop*1000/PI()))/(2*Fabric_Thickness)</f>
        <v>#VALUE!</v>
      </c>
      <c r="P35" s="1">
        <f>IF(INDEX('3. Hardware Options'!$E$6:$E$50,MATCH(T_Tubes[[#This Row],[Description]],'3. Hardware Options'!$B$6:$B$50,0))="Show",1*SUMPRODUCT(D35,F35,C35),0)</f>
        <v>1</v>
      </c>
      <c r="Q35" s="404" t="e">
        <f>((Design_Width_MAX/S35)*IFERROR(SUMPRODUCT(D35,F35,P35),"-")*IF((S35&gt;Design_Width_MAX*Deflection_limit),0,1)*IF(T_Tubes[[#This Row],[MaxLength]]&gt;=Design_Width_MAX,1,0))*T_Tubes[[#This Row],[Mass/m]]</f>
        <v>#VALUE!</v>
      </c>
      <c r="R35" s="401" t="e">
        <f>IF($Q35,1+(COUNTIF($Q$15:$Q$38,"&lt;"&amp;$Q35)-COUNTIF($Q$15:$Q$38,"&lt;0.00001")),IF(SheetStatus="Release - FFA",999-COUNTIF($T$15:$T35,"=0")+1,""))</f>
        <v>#VALUE!</v>
      </c>
      <c r="S35" s="158" t="e">
        <f t="shared" si="2"/>
        <v>#VALUE!</v>
      </c>
      <c r="T35" s="213" t="e">
        <f>((Design_Width_MAX/S35)*IFERROR(SUMPRODUCT(D35,F35,P35),"-")*IF((S35&gt;Design_Width_MAX*Deflection_limit),0,1)*IF(T_Tubes[[#This Row],[MaxLength]]&gt;=Design_Width_MAX,1,0))</f>
        <v>#VALUE!</v>
      </c>
      <c r="U35" s="276" t="e">
        <f>IF($T35,1+(COUNTIF($T$15:$T$38,"&lt;"&amp;$T35)-COUNTIF($T$15:$T$38,"&lt;0.00001")),IF(SheetStatus="Release - FFA",999-COUNTIF($T$15:$T35,"=0")+1,""))</f>
        <v>#VALUE!</v>
      </c>
      <c r="W35" s="140" t="str">
        <f t="shared" si="3"/>
        <v/>
      </c>
      <c r="X35" s="178"/>
      <c r="Y35" s="1">
        <f>IF(Y34+1&lt;=$U$11,Y34+1,999-COUNT($Y$15:Y34)+$U$11)</f>
        <v>979</v>
      </c>
      <c r="AB35" t="str">
        <f t="shared" si="4"/>
        <v/>
      </c>
      <c r="AC35" s="213" t="e">
        <f>((Design_Width_MAX/S35)*IFERROR(SUMPRODUCT(D35,F35,P35,C35),"-")*IF((S35&gt;Design_Width_MAX*Deflection_limit*$S$7),0,1)*IF(T_Tubes[[#This Row],[MaxLength]]&gt;=Design_Width_MAX,1,0))</f>
        <v>#VALUE!</v>
      </c>
      <c r="AD35" s="178" t="e">
        <f>IF($AC35,1+(COUNTIF($AC$15:$AC$38,"&lt;"&amp;$AC35)-COUNTIF($AC$15:$AC$38,"&lt;0.00001")),IF(SheetStatus="Release - FFA",999-COUNTIF($T$15:$T35,"=0")+1,""))</f>
        <v>#VALUE!</v>
      </c>
      <c r="AE35" s="229" t="e">
        <f>IF(T35&lt;&gt;0,ABS(T_Tubes[[#This Row],[NumTurns]]-$AE$9),"")</f>
        <v>#VALUE!</v>
      </c>
      <c r="AF35" s="1" t="str">
        <f t="shared" si="5"/>
        <v/>
      </c>
      <c r="AG35" s="276" t="e">
        <f>IF($AC35,1+(COUNTIF($AC$15:$AC$38,"&lt;"&amp;$AC35)-COUNTIF($AC$15:$AC$38,"&lt;0.00001")),IF(SheetStatus="Release - FFA",999-COUNTIF($AC$15:$AC35,"=0")+1,"0"))</f>
        <v>#VALUE!</v>
      </c>
      <c r="AH35" s="409" t="e">
        <f>IF(AC35&lt;&gt;0,T_Tubes[[#This Row],[Mass/m]],"")</f>
        <v>#VALUE!</v>
      </c>
      <c r="AI35" s="1" t="str">
        <f t="shared" si="6"/>
        <v/>
      </c>
      <c r="AJ35" s="158" t="str">
        <f t="shared" ca="1" si="7"/>
        <v/>
      </c>
      <c r="AK35" s="1" t="str">
        <f t="shared" ca="1" si="8"/>
        <v/>
      </c>
      <c r="AL35" s="1"/>
      <c r="AM35" s="1"/>
      <c r="AN35" s="252" t="str">
        <f t="shared" ca="1" si="9"/>
        <v/>
      </c>
      <c r="AP35" s="467"/>
      <c r="AQ35" s="468"/>
      <c r="AR35" s="468"/>
      <c r="AS35" s="468"/>
      <c r="AT35" s="468"/>
    </row>
    <row r="36" spans="3:46">
      <c r="C36" s="683">
        <f t="shared" si="12"/>
        <v>1</v>
      </c>
      <c r="D36" s="560">
        <v>1</v>
      </c>
      <c r="E36" s="560" t="s">
        <v>420</v>
      </c>
      <c r="F36" s="560">
        <f t="shared" si="0"/>
        <v>1</v>
      </c>
      <c r="G36" s="240" t="s">
        <v>127</v>
      </c>
      <c r="H36" s="14" t="s">
        <v>125</v>
      </c>
      <c r="I36" s="15">
        <v>110</v>
      </c>
      <c r="J36" s="15">
        <v>2.9984000000000002</v>
      </c>
      <c r="K36" s="136">
        <v>1445059.06</v>
      </c>
      <c r="L36" s="42">
        <f t="shared" si="10"/>
        <v>98264.016080000001</v>
      </c>
      <c r="M36" s="1">
        <v>200</v>
      </c>
      <c r="N36" s="1">
        <v>6</v>
      </c>
      <c r="O36" s="397" t="e">
        <f>(-T_Tubes[[#This Row],[Tube OD]]+SQRT(T_Tubes[[#This Row],[Tube OD]]^2+4*Fabric_Thickness*Design_Drop*1000/PI()))/(2*Fabric_Thickness)</f>
        <v>#VALUE!</v>
      </c>
      <c r="P36" s="1">
        <f>IF(INDEX('3. Hardware Options'!$E$6:$E$50,MATCH(T_Tubes[[#This Row],[Description]],'3. Hardware Options'!$B$6:$B$50,0))="Show",1*SUMPRODUCT(D36,F36,C36),0)</f>
        <v>1</v>
      </c>
      <c r="Q36" s="404" t="e">
        <f>((Design_Width_MAX/S36)*IFERROR(SUMPRODUCT(D36,F36,P36),"-")*IF((S36&gt;Design_Width_MAX*Deflection_limit),0,1)*IF(T_Tubes[[#This Row],[MaxLength]]&gt;=Design_Width_MAX,1,0))*T_Tubes[[#This Row],[Mass/m]]</f>
        <v>#VALUE!</v>
      </c>
      <c r="R36" s="401" t="e">
        <f>IF($Q36,1+(COUNTIF($Q$15:$Q$38,"&lt;"&amp;$Q36)-COUNTIF($Q$15:$Q$38,"&lt;0.00001")),IF(SheetStatus="Release - FFA",999-COUNTIF($T$15:$T36,"=0")+1,""))</f>
        <v>#VALUE!</v>
      </c>
      <c r="S36" s="158" t="e">
        <f t="shared" si="2"/>
        <v>#VALUE!</v>
      </c>
      <c r="T36" s="213" t="e">
        <f>((Design_Width_MAX/S36)*IFERROR(SUMPRODUCT(D36,F36,P36),"-")*IF((S36&gt;Design_Width_MAX*Deflection_limit),0,1)*IF(T_Tubes[[#This Row],[MaxLength]]&gt;=Design_Width_MAX,1,0))</f>
        <v>#VALUE!</v>
      </c>
      <c r="U36" s="276" t="e">
        <f>IF($T36,1+(COUNTIF($T$15:$T$38,"&lt;"&amp;$T36)-COUNTIF($T$15:$T$38,"&lt;0.00001")),IF(SheetStatus="Release - FFA",999-COUNTIF($T$15:$T36,"=0")+1,""))</f>
        <v>#VALUE!</v>
      </c>
      <c r="W36" s="140" t="str">
        <f t="shared" si="3"/>
        <v/>
      </c>
      <c r="X36" s="178"/>
      <c r="Y36" s="1">
        <f>IF(Y35+1&lt;=$U$11,Y35+1,999-COUNT($Y$15:Y35)+$U$11)</f>
        <v>978</v>
      </c>
      <c r="AB36" t="str">
        <f t="shared" si="4"/>
        <v/>
      </c>
      <c r="AC36" s="213" t="e">
        <f>((Design_Width_MAX/S36)*IFERROR(SUMPRODUCT(D36,F36,P36,C36),"-")*IF((S36&gt;Design_Width_MAX*Deflection_limit*$S$7),0,1)*IF(T_Tubes[[#This Row],[MaxLength]]&gt;=Design_Width_MAX,1,0))</f>
        <v>#VALUE!</v>
      </c>
      <c r="AD36" s="178" t="e">
        <f>IF($AC36,1+(COUNTIF($AC$15:$AC$38,"&lt;"&amp;$AC36)-COUNTIF($AC$15:$AC$38,"&lt;0.00001")),IF(SheetStatus="Release - FFA",999-COUNTIF($T$15:$T36,"=0")+1,""))</f>
        <v>#VALUE!</v>
      </c>
      <c r="AE36" s="229" t="e">
        <f>IF(T36&lt;&gt;0,ABS(T_Tubes[[#This Row],[NumTurns]]-$AE$9),"")</f>
        <v>#VALUE!</v>
      </c>
      <c r="AF36" s="1" t="str">
        <f t="shared" si="5"/>
        <v/>
      </c>
      <c r="AG36" s="276" t="e">
        <f>IF($AC36,1+(COUNTIF($AC$15:$AC$38,"&lt;"&amp;$AC36)-COUNTIF($AC$15:$AC$38,"&lt;0.00001")),IF(SheetStatus="Release - FFA",999-COUNTIF($AC$15:$AC36,"=0")+1,"0"))</f>
        <v>#VALUE!</v>
      </c>
      <c r="AH36" s="409" t="e">
        <f>IF(AC36&lt;&gt;0,T_Tubes[[#This Row],[Mass/m]],"")</f>
        <v>#VALUE!</v>
      </c>
      <c r="AI36" s="1" t="str">
        <f t="shared" si="6"/>
        <v/>
      </c>
      <c r="AJ36" s="158" t="str">
        <f t="shared" ca="1" si="7"/>
        <v/>
      </c>
      <c r="AK36" s="1" t="str">
        <f t="shared" ca="1" si="8"/>
        <v/>
      </c>
      <c r="AL36" s="1"/>
      <c r="AM36" s="1"/>
      <c r="AN36" s="252" t="str">
        <f t="shared" ca="1" si="9"/>
        <v/>
      </c>
      <c r="AP36" s="467"/>
      <c r="AQ36" s="468"/>
      <c r="AR36" s="468"/>
      <c r="AS36" s="468"/>
      <c r="AT36" s="468"/>
    </row>
    <row r="37" spans="3:46">
      <c r="C37" s="683">
        <f t="shared" si="12"/>
        <v>1</v>
      </c>
      <c r="D37" s="560">
        <v>1</v>
      </c>
      <c r="E37" s="560" t="s">
        <v>420</v>
      </c>
      <c r="F37" s="560">
        <f t="shared" si="0"/>
        <v>1</v>
      </c>
      <c r="G37" s="240" t="s">
        <v>128</v>
      </c>
      <c r="H37" s="14" t="s">
        <v>126</v>
      </c>
      <c r="I37" s="15">
        <v>130</v>
      </c>
      <c r="J37" s="15">
        <v>5.0403000000000002</v>
      </c>
      <c r="K37" s="136">
        <v>3288498.77</v>
      </c>
      <c r="L37" s="42">
        <f t="shared" si="10"/>
        <v>223617.91636</v>
      </c>
      <c r="M37" s="1">
        <v>200</v>
      </c>
      <c r="N37" s="1">
        <v>7</v>
      </c>
      <c r="O37" s="397" t="e">
        <f>(-T_Tubes[[#This Row],[Tube OD]]+SQRT(T_Tubes[[#This Row],[Tube OD]]^2+4*Fabric_Thickness*Design_Drop*1000/PI()))/(2*Fabric_Thickness)</f>
        <v>#VALUE!</v>
      </c>
      <c r="P37" s="1">
        <f>IF(INDEX('3. Hardware Options'!$E$6:$E$50,MATCH(T_Tubes[[#This Row],[Description]],'3. Hardware Options'!$B$6:$B$50,0))="Show",1*SUMPRODUCT(D37,F37,C37),0)</f>
        <v>1</v>
      </c>
      <c r="Q37" s="404" t="e">
        <f>((Design_Width_MAX/S37)*IFERROR(SUMPRODUCT(D37,F37,P37),"-")*IF((S37&gt;Design_Width_MAX*Deflection_limit),0,1)*IF(T_Tubes[[#This Row],[MaxLength]]&gt;=Design_Width_MAX,1,0))*T_Tubes[[#This Row],[Mass/m]]</f>
        <v>#VALUE!</v>
      </c>
      <c r="R37" s="401" t="e">
        <f>IF($Q37,1+(COUNTIF($Q$15:$Q$38,"&lt;"&amp;$Q37)-COUNTIF($Q$15:$Q$38,"&lt;0.00001")),IF(SheetStatus="Release - FFA",999-COUNTIF($T$15:$T37,"=0")+1,""))</f>
        <v>#VALUE!</v>
      </c>
      <c r="S37" s="158" t="e">
        <f t="shared" si="2"/>
        <v>#VALUE!</v>
      </c>
      <c r="T37" s="213" t="e">
        <f>((Design_Width_MAX/S37)*IFERROR(SUMPRODUCT(D37,F37,P37),"-")*IF((S37&gt;Design_Width_MAX*Deflection_limit),0,1)*IF(T_Tubes[[#This Row],[MaxLength]]&gt;=Design_Width_MAX,1,0))</f>
        <v>#VALUE!</v>
      </c>
      <c r="U37" s="276" t="e">
        <f>IF($T37,1+(COUNTIF($T$15:$T$38,"&lt;"&amp;$T37)-COUNTIF($T$15:$T$38,"&lt;0.00001")),IF(SheetStatus="Release - FFA",999-COUNTIF($T$15:$T37,"=0")+1,""))</f>
        <v>#VALUE!</v>
      </c>
      <c r="W37" s="140" t="str">
        <f t="shared" si="3"/>
        <v/>
      </c>
      <c r="X37" s="178"/>
      <c r="Y37" s="1">
        <f>IF(Y36+1&lt;=$U$11,Y36+1,999-COUNT($Y$15:Y36)+$U$11)</f>
        <v>977</v>
      </c>
      <c r="AB37" t="str">
        <f t="shared" si="4"/>
        <v/>
      </c>
      <c r="AC37" s="213" t="e">
        <f>((Design_Width_MAX/S37)*IFERROR(SUMPRODUCT(D37,F37,P37,C37),"-")*IF((S37&gt;Design_Width_MAX*Deflection_limit*$S$7),0,1)*IF(T_Tubes[[#This Row],[MaxLength]]&gt;=Design_Width_MAX,1,0))</f>
        <v>#VALUE!</v>
      </c>
      <c r="AD37" s="178" t="e">
        <f>IF($AC37,1+(COUNTIF($AC$15:$AC$38,"&lt;"&amp;$AC37)-COUNTIF($AC$15:$AC$38,"&lt;0.00001")),IF(SheetStatus="Release - FFA",999-COUNTIF($T$15:$T37,"=0")+1,""))</f>
        <v>#VALUE!</v>
      </c>
      <c r="AE37" s="229" t="e">
        <f>IF(T37&lt;&gt;0,ABS(T_Tubes[[#This Row],[NumTurns]]-$AE$9),"")</f>
        <v>#VALUE!</v>
      </c>
      <c r="AF37" s="1" t="str">
        <f t="shared" si="5"/>
        <v/>
      </c>
      <c r="AG37" s="276" t="e">
        <f>IF($AC37,1+(COUNTIF($AC$15:$AC$38,"&lt;"&amp;$AC37)-COUNTIF($AC$15:$AC$38,"&lt;0.00001")),IF(SheetStatus="Release - FFA",999-COUNTIF($AC$15:$AC37,"=0")+1,"0"))</f>
        <v>#VALUE!</v>
      </c>
      <c r="AH37" s="409" t="e">
        <f>IF(AC37&lt;&gt;0,T_Tubes[[#This Row],[Mass/m]],"")</f>
        <v>#VALUE!</v>
      </c>
      <c r="AI37" s="1" t="str">
        <f t="shared" si="6"/>
        <v/>
      </c>
      <c r="AJ37" s="158" t="str">
        <f t="shared" ca="1" si="7"/>
        <v/>
      </c>
      <c r="AK37" s="1" t="str">
        <f t="shared" ca="1" si="8"/>
        <v/>
      </c>
      <c r="AL37" s="1"/>
      <c r="AM37" s="1"/>
      <c r="AN37" s="252" t="str">
        <f t="shared" ca="1" si="9"/>
        <v/>
      </c>
      <c r="AP37" s="469"/>
      <c r="AQ37" s="470"/>
      <c r="AR37" s="470"/>
      <c r="AS37" s="470"/>
      <c r="AT37" s="470"/>
    </row>
    <row r="38" spans="3:46">
      <c r="C38" s="687">
        <f t="shared" si="12"/>
        <v>1</v>
      </c>
      <c r="D38" s="560">
        <v>1</v>
      </c>
      <c r="E38" s="560" t="s">
        <v>420</v>
      </c>
      <c r="F38" s="560">
        <f t="shared" si="0"/>
        <v>1</v>
      </c>
      <c r="G38" s="665" t="s">
        <v>129</v>
      </c>
      <c r="H38" s="303" t="s">
        <v>594</v>
      </c>
      <c r="I38" s="304">
        <v>160</v>
      </c>
      <c r="J38" s="304">
        <v>5.3699000000000003</v>
      </c>
      <c r="K38" s="662">
        <v>5628857.2000000002</v>
      </c>
      <c r="L38" s="663">
        <f t="shared" si="10"/>
        <v>382762.28960000002</v>
      </c>
      <c r="M38" s="414">
        <v>200</v>
      </c>
      <c r="N38" s="414">
        <v>7</v>
      </c>
      <c r="O38" s="664" t="e">
        <f>(-T_Tubes[[#This Row],[Tube OD]]+SQRT(T_Tubes[[#This Row],[Tube OD]]^2+4*Fabric_Thickness*Design_Drop*1000/PI()))/(2*Fabric_Thickness)</f>
        <v>#VALUE!</v>
      </c>
      <c r="P38" s="1">
        <f>IF(INDEX('3. Hardware Options'!$E$6:$E$50,MATCH(T_Tubes[[#This Row],[Description]],'3. Hardware Options'!$B$6:$B$50,0))="Show",1*SUMPRODUCT(D38,F38,C38),0)</f>
        <v>1</v>
      </c>
      <c r="Q38" s="404" t="e">
        <f>((Design_Width_MAX/S38)*IFERROR(SUMPRODUCT(D38,F38,P38),"-")*IF((S38&gt;Design_Width_MAX*Deflection_limit),0,1)*IF(T_Tubes[[#This Row],[MaxLength]]&gt;=Design_Width_MAX,1,0))*T_Tubes[[#This Row],[Mass/m]]</f>
        <v>#VALUE!</v>
      </c>
      <c r="R38" s="401" t="e">
        <f>IF($Q38,1+(COUNTIF($Q$15:$Q$38,"&lt;"&amp;$Q38)-COUNTIF($Q$15:$Q$38,"&lt;0.00001")),IF(SheetStatus="Release - FFA",999-COUNTIF($T$15:$T38,"=0")+1,""))</f>
        <v>#VALUE!</v>
      </c>
      <c r="S38" s="158" t="e">
        <f t="shared" si="2"/>
        <v>#VALUE!</v>
      </c>
      <c r="T38" s="213" t="e">
        <f>((Design_Width_MAX/S38)*IFERROR(SUMPRODUCT(D38,F38,P38),"-")*IF((S38&gt;Design_Width_MAX*Deflection_limit),0,1)*IF(T_Tubes[[#This Row],[MaxLength]]&gt;=Design_Width_MAX,1,0))</f>
        <v>#VALUE!</v>
      </c>
      <c r="U38" s="276" t="e">
        <f>IF($T38,1+(COUNTIF($T$15:$T$38,"&lt;"&amp;$T38)-COUNTIF($T$15:$T$38,"&lt;0.00001")),IF(SheetStatus="Release - FFA",999-COUNTIF($T$15:$T38,"=0")+1,""))</f>
        <v>#VALUE!</v>
      </c>
      <c r="W38" s="140" t="str">
        <f t="shared" si="3"/>
        <v/>
      </c>
      <c r="X38" s="178"/>
      <c r="Y38" s="1">
        <f>IF(Y37+1&lt;=$U$11,Y37+1,999-COUNT($Y$15:Y37)+$U$11)</f>
        <v>976</v>
      </c>
      <c r="AB38" t="str">
        <f t="shared" si="4"/>
        <v/>
      </c>
      <c r="AC38" s="213" t="e">
        <f>((Design_Width_MAX/S38)*IFERROR(SUMPRODUCT(D38,F38,P38,C38),"-")*IF((S38&gt;Design_Width_MAX*Deflection_limit*$S$7),0,1)*IF(T_Tubes[[#This Row],[MaxLength]]&gt;=Design_Width_MAX,1,0))</f>
        <v>#VALUE!</v>
      </c>
      <c r="AD38" s="178" t="e">
        <f>IF($AC38,1+(COUNTIF($AC$15:$AC$38,"&lt;"&amp;$AC38)-COUNTIF($AC$15:$AC$38,"&lt;0.00001")),IF(SheetStatus="Release - FFA",999-COUNTIF($T$15:$T38,"=0")+1,""))</f>
        <v>#VALUE!</v>
      </c>
      <c r="AE38" s="229" t="e">
        <f>IF(T38&lt;&gt;0,ABS(T_Tubes[[#This Row],[NumTurns]]-$AE$9),"")</f>
        <v>#VALUE!</v>
      </c>
      <c r="AF38" s="1" t="str">
        <f t="shared" si="5"/>
        <v/>
      </c>
      <c r="AG38" s="276" t="e">
        <f>IF($AC38,1+(COUNTIF($AC$15:$AC$38,"&lt;"&amp;$AC38)-COUNTIF($AC$15:$AC$38,"&lt;0.00001")),IF(SheetStatus="Release - FFA",999-COUNTIF($AC$15:$AC38,"=0")+1,"0"))</f>
        <v>#VALUE!</v>
      </c>
      <c r="AH38" s="409" t="e">
        <f>IF(AC38&lt;&gt;0,T_Tubes[[#This Row],[Mass/m]],"")</f>
        <v>#VALUE!</v>
      </c>
      <c r="AI38" s="1" t="str">
        <f t="shared" si="6"/>
        <v/>
      </c>
      <c r="AJ38" s="158" t="str">
        <f t="shared" ref="AJ38" ca="1" si="14">IFERROR(IF(AF38*AG38*AI38=0,"",(AF38^2*AG38*SQRT(AI38))+RAND()),"")</f>
        <v/>
      </c>
      <c r="AK38" s="1" t="str">
        <f t="shared" ca="1" si="8"/>
        <v/>
      </c>
      <c r="AL38" s="1"/>
      <c r="AM38" s="1"/>
      <c r="AN38" s="252" t="str">
        <f t="shared" ca="1" si="9"/>
        <v/>
      </c>
      <c r="AP38" s="469"/>
      <c r="AQ38" s="470"/>
      <c r="AR38" s="470"/>
      <c r="AS38" s="470"/>
      <c r="AT38" s="470"/>
    </row>
    <row r="39" spans="3:46">
      <c r="H39" s="146"/>
      <c r="K39" s="1"/>
      <c r="L39" s="189"/>
      <c r="M39" s="1"/>
      <c r="N39" s="1"/>
      <c r="O39" s="1"/>
      <c r="P39" s="1"/>
      <c r="Q39" s="1"/>
      <c r="S39" s="1"/>
      <c r="T39" s="257"/>
      <c r="U39" s="1"/>
    </row>
    <row r="40" spans="3:46">
      <c r="H40" s="146"/>
      <c r="K40" s="1"/>
      <c r="M40" s="1"/>
      <c r="N40" s="1"/>
      <c r="O40" s="1"/>
      <c r="P40" s="414" t="s">
        <v>332</v>
      </c>
      <c r="Q40" s="414" t="s">
        <v>333</v>
      </c>
      <c r="R40" s="414"/>
      <c r="S40" s="414"/>
      <c r="T40" s="414" t="s">
        <v>123</v>
      </c>
      <c r="U40" s="414" t="s">
        <v>393</v>
      </c>
      <c r="V40" s="414" t="s">
        <v>1099</v>
      </c>
      <c r="W40" s="414" t="s">
        <v>550</v>
      </c>
      <c r="X40" s="414" t="s">
        <v>549</v>
      </c>
      <c r="Y40" s="414" t="s">
        <v>548</v>
      </c>
      <c r="Z40" s="414"/>
      <c r="AA40" s="414"/>
      <c r="AB40" s="414"/>
      <c r="AC40" s="414"/>
      <c r="AD40" s="414"/>
    </row>
    <row r="41" spans="3:46">
      <c r="K41">
        <f>i_Control</f>
        <v>0</v>
      </c>
      <c r="O41" t="s">
        <v>331</v>
      </c>
    </row>
    <row r="42" spans="3:46" ht="15" thickBot="1">
      <c r="O42" s="252" t="s">
        <v>330</v>
      </c>
    </row>
    <row r="43" spans="3:46">
      <c r="C43" s="765" t="s">
        <v>67</v>
      </c>
      <c r="D43" s="762"/>
      <c r="E43" s="766"/>
      <c r="F43" s="766"/>
      <c r="G43" s="4" t="s">
        <v>55</v>
      </c>
      <c r="H43" s="4"/>
      <c r="I43" s="4" t="s">
        <v>41</v>
      </c>
      <c r="J43" s="20" t="s">
        <v>12</v>
      </c>
      <c r="K43" s="5"/>
    </row>
    <row r="44" spans="3:46">
      <c r="C44" s="28" t="s">
        <v>32</v>
      </c>
      <c r="D44" s="246"/>
      <c r="E44" s="7" t="s">
        <v>30</v>
      </c>
      <c r="F44" s="7" t="s">
        <v>16</v>
      </c>
      <c r="G44" s="7" t="s">
        <v>54</v>
      </c>
      <c r="H44" s="7" t="s">
        <v>56</v>
      </c>
      <c r="I44" s="7" t="s">
        <v>57</v>
      </c>
      <c r="J44" s="21" t="s">
        <v>6</v>
      </c>
      <c r="K44" s="8" t="s">
        <v>162</v>
      </c>
      <c r="L44" s="184" t="s">
        <v>336</v>
      </c>
      <c r="M44" s="115"/>
      <c r="N44" s="1" t="s">
        <v>349</v>
      </c>
      <c r="O44" s="115" t="s">
        <v>337</v>
      </c>
      <c r="P44" s="1"/>
      <c r="Q44" s="115" t="s">
        <v>332</v>
      </c>
      <c r="R44" s="115" t="s">
        <v>333</v>
      </c>
      <c r="S44" s="115" t="s">
        <v>658</v>
      </c>
      <c r="T44" s="115" t="s">
        <v>659</v>
      </c>
      <c r="U44" s="115" t="s">
        <v>123</v>
      </c>
      <c r="V44" s="115" t="s">
        <v>1099</v>
      </c>
      <c r="W44" s="115" t="s">
        <v>550</v>
      </c>
      <c r="X44" s="115" t="s">
        <v>549</v>
      </c>
      <c r="Y44" s="115" t="s">
        <v>1030</v>
      </c>
      <c r="Z44" s="115" t="s">
        <v>1015</v>
      </c>
      <c r="AA44" s="115" t="s">
        <v>1031</v>
      </c>
      <c r="AB44" s="115" t="s">
        <v>548</v>
      </c>
      <c r="AC44" s="115" t="s">
        <v>1139</v>
      </c>
      <c r="AD44" s="115" t="s">
        <v>1145</v>
      </c>
      <c r="AE44" s="115" t="s">
        <v>1158</v>
      </c>
      <c r="AF44" s="115" t="s">
        <v>1142</v>
      </c>
    </row>
    <row r="45" spans="3:46">
      <c r="C45" s="9"/>
      <c r="D45" s="206"/>
      <c r="E45" s="10"/>
      <c r="F45" s="10" t="str">
        <f>z_None</f>
        <v>None</v>
      </c>
      <c r="G45" s="135">
        <v>1.0000000000000001E-9</v>
      </c>
      <c r="H45" s="135">
        <v>1E-4</v>
      </c>
      <c r="I45" s="135">
        <f>H45*G45</f>
        <v>1.0000000000000002E-13</v>
      </c>
      <c r="J45" s="170"/>
      <c r="K45" s="32">
        <v>0</v>
      </c>
      <c r="L45" s="276">
        <f>IFERROR(IF(o_BoosterRequired="Yes",0,1),1)</f>
        <v>1</v>
      </c>
      <c r="M45" s="276"/>
      <c r="N45" s="267">
        <f>SUM(L45:L74)</f>
        <v>1</v>
      </c>
      <c r="O45" s="260" t="str" cm="1">
        <f t="array" ref="O45">IFERROR(IF(i_ControlType=z_Motor,"",IF(i_Control="",z_SelectaControl,_xlfn._xlws.FILTER($F$45:$F$74,$L$45:$L$74))),z_NoOptions)</f>
        <v>Select a Control.</v>
      </c>
      <c r="P45" s="1"/>
      <c r="Q45" s="1">
        <v>1</v>
      </c>
      <c r="R45" s="1">
        <v>1</v>
      </c>
      <c r="S45" s="1">
        <v>1</v>
      </c>
      <c r="T45" s="1">
        <v>1</v>
      </c>
      <c r="U45" s="1">
        <v>1</v>
      </c>
      <c r="V45" s="1">
        <v>1</v>
      </c>
      <c r="W45" s="1">
        <v>1</v>
      </c>
      <c r="X45" s="1">
        <v>1</v>
      </c>
      <c r="Y45" s="1">
        <v>1</v>
      </c>
      <c r="Z45" s="1">
        <v>1</v>
      </c>
      <c r="AA45" s="1">
        <v>1</v>
      </c>
      <c r="AB45" s="1">
        <v>1</v>
      </c>
    </row>
    <row r="46" spans="3:46">
      <c r="C46" s="13"/>
      <c r="D46" s="240"/>
      <c r="E46" s="14"/>
      <c r="F46" s="14" t="s">
        <v>334</v>
      </c>
      <c r="G46" s="15">
        <v>2.3E-2</v>
      </c>
      <c r="H46" s="15">
        <v>56</v>
      </c>
      <c r="I46" s="75">
        <f t="shared" ref="I46:I47" si="15">H46*G46</f>
        <v>1.288</v>
      </c>
      <c r="J46" s="170"/>
      <c r="K46" s="33">
        <v>1</v>
      </c>
      <c r="L46" s="1" t="str">
        <f>IFERROR(IF(SheetStatus="Release - FFA",1,INDEX($Q46:$AF46,MATCH(i_Control,$Q$44:$AF$44,0))),"")</f>
        <v/>
      </c>
      <c r="M46" s="1"/>
      <c r="N46" s="1"/>
      <c r="P46" s="1"/>
      <c r="Q46" s="1">
        <v>1</v>
      </c>
      <c r="R46" s="1">
        <v>1</v>
      </c>
      <c r="S46" s="1"/>
      <c r="T46" s="1"/>
      <c r="U46" s="1">
        <v>1</v>
      </c>
      <c r="V46" s="1"/>
      <c r="W46" s="1"/>
      <c r="X46" s="1"/>
      <c r="Y46" s="1"/>
      <c r="Z46" s="1"/>
      <c r="AA46" s="1"/>
      <c r="AB46" s="1"/>
    </row>
    <row r="47" spans="3:46">
      <c r="C47" s="37"/>
      <c r="D47" s="247"/>
      <c r="E47" s="38"/>
      <c r="F47" s="14" t="s">
        <v>335</v>
      </c>
      <c r="G47" s="39">
        <v>4.4999999999999998E-2</v>
      </c>
      <c r="H47" s="39">
        <v>56</v>
      </c>
      <c r="I47" s="41">
        <f t="shared" si="15"/>
        <v>2.52</v>
      </c>
      <c r="J47" s="170"/>
      <c r="K47" s="180">
        <v>1</v>
      </c>
      <c r="L47" s="1" t="str">
        <f t="shared" ref="L47:L74" si="16">IFERROR(IF(SheetStatus="Release - FFA",1,INDEX($Q47:$AF47,MATCH(i_Control,$Q$44:$AF$44,0))),"")</f>
        <v/>
      </c>
      <c r="M47" s="1"/>
      <c r="N47" s="1"/>
      <c r="O47" s="268"/>
      <c r="P47" s="1"/>
      <c r="Q47" s="1">
        <v>1</v>
      </c>
      <c r="R47" s="1">
        <v>1</v>
      </c>
      <c r="S47" s="1"/>
      <c r="T47" s="1"/>
      <c r="U47" s="1">
        <v>1</v>
      </c>
      <c r="V47" s="1"/>
      <c r="W47" s="1"/>
      <c r="X47" s="1"/>
      <c r="Y47" s="1"/>
      <c r="Z47" s="1"/>
      <c r="AA47" s="1"/>
      <c r="AB47" s="1"/>
    </row>
    <row r="48" spans="3:46">
      <c r="C48" s="37"/>
      <c r="D48" s="247"/>
      <c r="E48" s="38" t="s">
        <v>61</v>
      </c>
      <c r="F48" s="38" t="s">
        <v>62</v>
      </c>
      <c r="G48" s="39">
        <v>1.7999999999999999E-2</v>
      </c>
      <c r="H48" s="39">
        <v>26</v>
      </c>
      <c r="I48" s="41">
        <f>H48*G48</f>
        <v>0.46799999999999997</v>
      </c>
      <c r="J48" s="170"/>
      <c r="K48" s="33">
        <v>1</v>
      </c>
      <c r="L48" s="1" t="str">
        <f t="shared" si="16"/>
        <v/>
      </c>
      <c r="M48" s="1"/>
      <c r="N48" s="1"/>
      <c r="P48" s="1"/>
      <c r="Q48" s="1"/>
      <c r="R48" s="1"/>
      <c r="S48" s="1"/>
      <c r="T48" s="1"/>
      <c r="U48" s="1"/>
      <c r="V48" s="1"/>
      <c r="W48" s="1"/>
      <c r="X48" s="1"/>
      <c r="Y48" s="1"/>
      <c r="Z48" s="1"/>
      <c r="AA48" s="1"/>
      <c r="AB48" s="1"/>
    </row>
    <row r="49" spans="3:32">
      <c r="C49" s="37"/>
      <c r="D49" s="247"/>
      <c r="E49" s="38" t="s">
        <v>59</v>
      </c>
      <c r="F49" s="38" t="s">
        <v>58</v>
      </c>
      <c r="G49" s="39">
        <v>1.4999999999999999E-2</v>
      </c>
      <c r="H49" s="39">
        <v>40</v>
      </c>
      <c r="I49" s="41">
        <f>H49*G49</f>
        <v>0.6</v>
      </c>
      <c r="J49" s="170"/>
      <c r="K49" s="180">
        <v>1</v>
      </c>
      <c r="L49" s="1" t="str">
        <f t="shared" si="16"/>
        <v/>
      </c>
      <c r="M49" s="1"/>
      <c r="N49" s="1"/>
      <c r="P49" s="1"/>
      <c r="Q49" s="1"/>
      <c r="R49" s="1"/>
      <c r="S49" s="1"/>
      <c r="T49" s="1"/>
      <c r="U49" s="1"/>
      <c r="V49" s="1"/>
      <c r="W49" s="1"/>
      <c r="X49" s="1"/>
      <c r="Y49" s="1"/>
      <c r="Z49" s="1"/>
      <c r="AA49" s="1"/>
      <c r="AB49" s="1"/>
    </row>
    <row r="50" spans="3:32">
      <c r="C50" s="13"/>
      <c r="D50" s="240"/>
      <c r="E50" s="14" t="s">
        <v>60</v>
      </c>
      <c r="F50" s="14" t="s">
        <v>53</v>
      </c>
      <c r="G50" s="15">
        <v>2.6700000000000002E-2</v>
      </c>
      <c r="H50" s="15">
        <v>40</v>
      </c>
      <c r="I50" s="41">
        <f>H50*G50</f>
        <v>1.0680000000000001</v>
      </c>
      <c r="J50" s="170"/>
      <c r="K50" s="33">
        <v>1</v>
      </c>
      <c r="L50" s="1" t="str">
        <f t="shared" si="16"/>
        <v/>
      </c>
      <c r="M50" s="1"/>
      <c r="N50" s="1"/>
      <c r="P50" s="1"/>
      <c r="Q50" s="1"/>
      <c r="R50" s="1"/>
      <c r="S50" s="1"/>
      <c r="T50" s="1"/>
      <c r="U50" s="1"/>
      <c r="V50" s="1"/>
      <c r="W50" s="1"/>
      <c r="X50" s="1"/>
      <c r="Y50" s="1"/>
      <c r="Z50" s="1"/>
      <c r="AA50" s="1"/>
      <c r="AB50" s="1"/>
    </row>
    <row r="51" spans="3:32">
      <c r="C51" s="34"/>
      <c r="D51" s="207"/>
      <c r="E51" s="35" t="s">
        <v>63</v>
      </c>
      <c r="F51" s="35" t="s">
        <v>64</v>
      </c>
      <c r="G51" s="36">
        <v>4.6699999999999998E-2</v>
      </c>
      <c r="H51" s="36">
        <v>38</v>
      </c>
      <c r="I51" s="41">
        <f>H51*G51</f>
        <v>1.7746</v>
      </c>
      <c r="J51" s="170"/>
      <c r="K51" s="180">
        <v>1</v>
      </c>
      <c r="L51" s="1" t="str">
        <f t="shared" si="16"/>
        <v/>
      </c>
      <c r="M51" s="1"/>
      <c r="N51" s="1"/>
      <c r="P51" s="1"/>
      <c r="Q51" s="1"/>
      <c r="R51" s="1"/>
      <c r="S51" s="1"/>
      <c r="T51" s="1"/>
      <c r="U51" s="1"/>
      <c r="V51" s="1"/>
      <c r="W51" s="1"/>
      <c r="X51" s="1"/>
      <c r="Y51" s="1"/>
      <c r="Z51" s="1"/>
      <c r="AA51" s="1"/>
      <c r="AB51" s="1"/>
    </row>
    <row r="52" spans="3:32">
      <c r="C52" s="34"/>
      <c r="D52" s="207"/>
      <c r="E52" s="35" t="s">
        <v>150</v>
      </c>
      <c r="F52" s="35" t="s">
        <v>151</v>
      </c>
      <c r="G52" s="36">
        <v>1.77E-2</v>
      </c>
      <c r="H52" s="36">
        <v>35</v>
      </c>
      <c r="I52" s="41">
        <f t="shared" ref="I52:I58" si="17">H52*G52</f>
        <v>0.61950000000000005</v>
      </c>
      <c r="J52" s="170"/>
      <c r="K52" s="33">
        <v>1</v>
      </c>
      <c r="L52" s="1" t="str">
        <f t="shared" si="16"/>
        <v/>
      </c>
      <c r="M52" s="1"/>
      <c r="N52" s="1"/>
      <c r="P52" s="1"/>
      <c r="Q52" s="1"/>
      <c r="R52" s="1"/>
      <c r="S52" s="1"/>
      <c r="T52" s="1"/>
      <c r="U52" s="1"/>
      <c r="V52" s="1"/>
      <c r="W52" s="1"/>
      <c r="X52" s="1"/>
      <c r="Y52" s="1"/>
      <c r="Z52" s="1"/>
      <c r="AA52" s="1"/>
      <c r="AB52" s="1"/>
    </row>
    <row r="53" spans="3:32">
      <c r="C53" s="34"/>
      <c r="D53" s="207"/>
      <c r="E53" s="35" t="s">
        <v>1078</v>
      </c>
      <c r="F53" s="35" t="s">
        <v>1076</v>
      </c>
      <c r="G53" s="36">
        <v>2.06E-2</v>
      </c>
      <c r="H53" s="36">
        <v>45</v>
      </c>
      <c r="I53" s="41">
        <f t="shared" ref="I53:I54" si="18">H53*G53</f>
        <v>0.92700000000000005</v>
      </c>
      <c r="J53" s="170"/>
      <c r="K53" s="180">
        <v>1</v>
      </c>
      <c r="L53" s="1" t="str">
        <f t="shared" si="16"/>
        <v/>
      </c>
      <c r="M53" s="1"/>
      <c r="N53" s="1"/>
      <c r="P53" s="1"/>
      <c r="Q53" s="1"/>
      <c r="R53" s="1"/>
      <c r="S53" s="646" t="str">
        <f>IF(OR(i_Tube="1-1/2"&amp;CHAR(34),i_Tube="2"&amp;CHAR(34)),1,"")</f>
        <v/>
      </c>
      <c r="T53" s="276"/>
      <c r="U53" s="1"/>
      <c r="V53" s="1"/>
      <c r="W53" s="1"/>
      <c r="X53" s="1"/>
      <c r="Y53" s="1"/>
      <c r="Z53" s="1"/>
      <c r="AA53" s="1"/>
      <c r="AB53" s="1"/>
    </row>
    <row r="54" spans="3:32">
      <c r="C54" s="34"/>
      <c r="D54" s="207"/>
      <c r="E54" s="35" t="s">
        <v>1079</v>
      </c>
      <c r="F54" s="35" t="s">
        <v>1077</v>
      </c>
      <c r="G54" s="36">
        <v>4.8099999999999997E-2</v>
      </c>
      <c r="H54" s="36">
        <v>38</v>
      </c>
      <c r="I54" s="41">
        <f t="shared" si="18"/>
        <v>1.8277999999999999</v>
      </c>
      <c r="J54" s="170"/>
      <c r="K54" s="33">
        <v>1</v>
      </c>
      <c r="L54" s="1" t="str">
        <f t="shared" si="16"/>
        <v/>
      </c>
      <c r="M54" s="1"/>
      <c r="N54" s="1"/>
      <c r="P54" s="1"/>
      <c r="Q54" s="1"/>
      <c r="R54" s="1"/>
      <c r="S54" s="646" t="str">
        <f>IF(OR(i_Tube="1-1/2"&amp;CHAR(34),i_Tube="2"&amp;CHAR(34)),1,"")</f>
        <v/>
      </c>
      <c r="T54" s="276"/>
      <c r="U54" s="1"/>
      <c r="V54" s="1"/>
      <c r="W54" s="1"/>
      <c r="X54" s="1"/>
      <c r="Y54" s="1"/>
      <c r="Z54" s="1"/>
      <c r="AA54" s="1"/>
      <c r="AB54" s="1"/>
    </row>
    <row r="55" spans="3:32">
      <c r="C55" s="34"/>
      <c r="D55" s="207"/>
      <c r="E55" s="35" t="s">
        <v>1080</v>
      </c>
      <c r="F55" s="35" t="s">
        <v>1143</v>
      </c>
      <c r="G55" s="36">
        <v>2.06E-2</v>
      </c>
      <c r="H55" s="36">
        <v>45</v>
      </c>
      <c r="I55" s="41">
        <f>H55*G55</f>
        <v>0.92700000000000005</v>
      </c>
      <c r="J55" s="170"/>
      <c r="K55" s="180">
        <v>1</v>
      </c>
      <c r="L55" s="1" t="str">
        <f t="shared" si="16"/>
        <v/>
      </c>
      <c r="M55" s="1"/>
      <c r="N55" s="1"/>
      <c r="P55" s="1"/>
      <c r="Q55" s="1"/>
      <c r="R55" s="1"/>
      <c r="S55" s="276"/>
      <c r="T55" s="646" t="str">
        <f>IF(OR(i_Tube="1-1/2"&amp;CHAR(34),i_Tube="2"&amp;CHAR(34)),1,"")</f>
        <v/>
      </c>
      <c r="U55" s="1"/>
      <c r="V55" s="1"/>
      <c r="W55" s="1"/>
      <c r="X55" s="1"/>
      <c r="Y55" s="1"/>
      <c r="Z55" s="1"/>
      <c r="AA55" s="1"/>
      <c r="AB55" s="1"/>
      <c r="AC55">
        <v>1</v>
      </c>
      <c r="AD55">
        <v>1</v>
      </c>
      <c r="AE55">
        <v>1</v>
      </c>
      <c r="AF55">
        <v>1</v>
      </c>
    </row>
    <row r="56" spans="3:32">
      <c r="C56" s="34"/>
      <c r="D56" s="207"/>
      <c r="E56" s="35" t="s">
        <v>1081</v>
      </c>
      <c r="F56" s="35" t="s">
        <v>1144</v>
      </c>
      <c r="G56" s="36">
        <v>4.8099999999999997E-2</v>
      </c>
      <c r="H56" s="36">
        <v>38</v>
      </c>
      <c r="I56" s="41">
        <f>H56*G56</f>
        <v>1.8277999999999999</v>
      </c>
      <c r="J56" s="170"/>
      <c r="K56" s="33">
        <v>1</v>
      </c>
      <c r="L56" s="1" t="str">
        <f t="shared" si="16"/>
        <v/>
      </c>
      <c r="M56" s="1"/>
      <c r="N56" s="1"/>
      <c r="P56" s="1"/>
      <c r="Q56" s="1"/>
      <c r="R56" s="1"/>
      <c r="S56" s="276"/>
      <c r="T56" s="646" t="str">
        <f>IF(OR(i_Tube="1-1/2"&amp;CHAR(34),i_Tube="2"&amp;CHAR(34)),1,"")</f>
        <v/>
      </c>
      <c r="U56" s="1"/>
      <c r="V56" s="1"/>
      <c r="W56" s="1"/>
      <c r="X56" s="1"/>
      <c r="Y56" s="1"/>
      <c r="Z56" s="1"/>
      <c r="AA56" s="1"/>
      <c r="AB56" s="1"/>
      <c r="AC56">
        <v>1</v>
      </c>
      <c r="AD56">
        <v>1</v>
      </c>
      <c r="AE56">
        <v>1</v>
      </c>
      <c r="AF56">
        <v>1</v>
      </c>
    </row>
    <row r="57" spans="3:32">
      <c r="C57" s="34"/>
      <c r="D57" s="207"/>
      <c r="E57" s="35" t="s">
        <v>152</v>
      </c>
      <c r="F57" s="35" t="s">
        <v>153</v>
      </c>
      <c r="G57" s="36">
        <v>2.06E-2</v>
      </c>
      <c r="H57" s="36">
        <v>45</v>
      </c>
      <c r="I57" s="41">
        <f t="shared" si="17"/>
        <v>0.92700000000000005</v>
      </c>
      <c r="J57" s="170"/>
      <c r="K57" s="180">
        <v>1</v>
      </c>
      <c r="L57" s="1" t="str">
        <f t="shared" si="16"/>
        <v/>
      </c>
      <c r="M57" s="1"/>
      <c r="N57" s="1"/>
      <c r="P57" s="1"/>
      <c r="Q57" s="1"/>
      <c r="R57" s="1"/>
      <c r="S57" s="1"/>
      <c r="T57" s="1"/>
      <c r="U57" s="1"/>
      <c r="V57" s="1">
        <v>1</v>
      </c>
      <c r="W57" s="1">
        <v>1</v>
      </c>
      <c r="X57" s="1"/>
      <c r="Y57" s="1"/>
      <c r="Z57" s="1"/>
      <c r="AA57" s="1"/>
      <c r="AB57" s="1"/>
    </row>
    <row r="58" spans="3:32">
      <c r="C58" s="34"/>
      <c r="D58" s="207"/>
      <c r="E58" s="35" t="s">
        <v>154</v>
      </c>
      <c r="F58" s="35" t="s">
        <v>155</v>
      </c>
      <c r="G58" s="36">
        <v>4.8099999999999997E-2</v>
      </c>
      <c r="H58" s="36">
        <v>38</v>
      </c>
      <c r="I58" s="41">
        <f t="shared" si="17"/>
        <v>1.8277999999999999</v>
      </c>
      <c r="J58" s="170"/>
      <c r="K58" s="33">
        <v>1</v>
      </c>
      <c r="L58" s="1" t="str">
        <f t="shared" si="16"/>
        <v/>
      </c>
      <c r="M58" s="1"/>
      <c r="N58" s="1"/>
      <c r="P58" s="1"/>
      <c r="Q58" s="1"/>
      <c r="R58" s="1"/>
      <c r="S58" s="1"/>
      <c r="T58" s="1"/>
      <c r="U58" s="1"/>
      <c r="V58" s="1">
        <v>1</v>
      </c>
      <c r="W58" s="1">
        <v>1</v>
      </c>
      <c r="X58" s="1"/>
      <c r="Y58" s="1"/>
      <c r="Z58" s="1"/>
      <c r="AA58" s="1"/>
      <c r="AB58" s="1"/>
    </row>
    <row r="59" spans="3:32">
      <c r="C59" s="34"/>
      <c r="D59" s="207"/>
      <c r="E59" s="35" t="s">
        <v>119</v>
      </c>
      <c r="F59" s="35" t="s">
        <v>117</v>
      </c>
      <c r="G59" s="36">
        <v>2.06E-2</v>
      </c>
      <c r="H59" s="36">
        <v>45</v>
      </c>
      <c r="I59" s="41">
        <f>H59*G59</f>
        <v>0.92700000000000005</v>
      </c>
      <c r="J59" s="170"/>
      <c r="K59" s="180">
        <v>1</v>
      </c>
      <c r="L59" s="1" t="str">
        <f t="shared" si="16"/>
        <v/>
      </c>
      <c r="M59" s="1"/>
      <c r="N59" s="1"/>
      <c r="P59" s="1"/>
      <c r="Q59" s="1"/>
      <c r="R59" s="1"/>
      <c r="S59" s="1"/>
      <c r="T59" s="1"/>
      <c r="U59" s="1"/>
      <c r="V59" s="1">
        <v>1</v>
      </c>
      <c r="W59" s="1">
        <v>1</v>
      </c>
      <c r="X59" s="1">
        <v>1</v>
      </c>
      <c r="Y59" s="1">
        <v>1</v>
      </c>
      <c r="Z59" s="1">
        <v>1</v>
      </c>
      <c r="AA59" s="1">
        <v>1</v>
      </c>
      <c r="AB59" s="1"/>
    </row>
    <row r="60" spans="3:32">
      <c r="C60" s="34"/>
      <c r="D60" s="207"/>
      <c r="E60" s="35" t="s">
        <v>120</v>
      </c>
      <c r="F60" s="35" t="s">
        <v>118</v>
      </c>
      <c r="G60" s="36">
        <v>4.8099999999999997E-2</v>
      </c>
      <c r="H60" s="36">
        <v>38</v>
      </c>
      <c r="I60" s="41">
        <f>H60*G60</f>
        <v>1.8277999999999999</v>
      </c>
      <c r="J60" s="170"/>
      <c r="K60" s="33">
        <v>1</v>
      </c>
      <c r="L60" s="1" t="str">
        <f t="shared" si="16"/>
        <v/>
      </c>
      <c r="M60" s="1"/>
      <c r="N60" s="1"/>
      <c r="P60" s="1"/>
      <c r="Q60" s="1"/>
      <c r="R60" s="1"/>
      <c r="S60" s="1"/>
      <c r="T60" s="1"/>
      <c r="U60" s="1"/>
      <c r="V60" s="1">
        <v>1</v>
      </c>
      <c r="W60" s="1">
        <v>1</v>
      </c>
      <c r="X60" s="1">
        <v>1</v>
      </c>
      <c r="Y60" s="1">
        <v>1</v>
      </c>
      <c r="Z60" s="1">
        <v>1</v>
      </c>
      <c r="AA60" s="1">
        <v>1</v>
      </c>
      <c r="AB60" s="1"/>
    </row>
    <row r="61" spans="3:32">
      <c r="C61" s="34"/>
      <c r="D61" s="207"/>
      <c r="E61" s="35" t="s">
        <v>110</v>
      </c>
      <c r="F61" s="35" t="s">
        <v>111</v>
      </c>
      <c r="G61" s="36">
        <v>4.9500000000000002E-2</v>
      </c>
      <c r="H61" s="36">
        <v>40</v>
      </c>
      <c r="I61" s="41">
        <f t="shared" ref="I61" si="19">H61*G61</f>
        <v>1.98</v>
      </c>
      <c r="J61" s="170"/>
      <c r="K61" s="180">
        <v>1</v>
      </c>
      <c r="L61" s="1" t="str">
        <f t="shared" si="16"/>
        <v/>
      </c>
      <c r="M61" s="1"/>
      <c r="N61" s="1"/>
      <c r="P61" s="1"/>
      <c r="Q61" s="1"/>
      <c r="R61" s="1"/>
      <c r="S61" s="1"/>
      <c r="T61" s="1"/>
      <c r="U61" s="1"/>
      <c r="V61" s="1"/>
      <c r="W61" s="1"/>
      <c r="X61" s="1"/>
      <c r="Y61" s="1"/>
      <c r="Z61" s="1"/>
      <c r="AA61" s="1"/>
      <c r="AB61" s="1">
        <v>1</v>
      </c>
    </row>
    <row r="62" spans="3:32">
      <c r="C62" s="34"/>
      <c r="D62" s="207"/>
      <c r="E62" s="35" t="s">
        <v>112</v>
      </c>
      <c r="F62" s="35" t="s">
        <v>353</v>
      </c>
      <c r="G62" s="36">
        <v>8.3900000000000002E-2</v>
      </c>
      <c r="H62" s="36">
        <v>38</v>
      </c>
      <c r="I62" s="41">
        <f t="shared" ref="I62" si="20">H62*G62</f>
        <v>3.1882000000000001</v>
      </c>
      <c r="J62" s="170"/>
      <c r="K62" s="180">
        <v>1</v>
      </c>
      <c r="L62" s="1" t="str">
        <f t="shared" si="16"/>
        <v/>
      </c>
      <c r="M62" s="1"/>
      <c r="N62" s="1"/>
      <c r="P62" s="1"/>
      <c r="Q62" s="1"/>
      <c r="R62" s="1"/>
      <c r="S62" s="1"/>
      <c r="T62" s="1"/>
      <c r="U62" s="1"/>
      <c r="V62" s="1"/>
      <c r="W62" s="1"/>
      <c r="X62" s="1"/>
      <c r="Y62" s="1"/>
      <c r="Z62" s="1"/>
      <c r="AA62" s="1"/>
      <c r="AB62" s="1">
        <v>1</v>
      </c>
    </row>
    <row r="63" spans="3:32">
      <c r="C63" s="34"/>
      <c r="D63" s="207"/>
      <c r="E63" s="35" t="s">
        <v>113</v>
      </c>
      <c r="F63" s="35" t="s">
        <v>352</v>
      </c>
      <c r="G63" s="36">
        <v>0.14419999999999999</v>
      </c>
      <c r="H63" s="36">
        <v>31</v>
      </c>
      <c r="I63" s="41">
        <f t="shared" ref="I63:I64" si="21">H63*G63</f>
        <v>4.4702000000000002</v>
      </c>
      <c r="J63" s="170"/>
      <c r="K63" s="180">
        <v>1</v>
      </c>
      <c r="L63" s="1" t="str">
        <f t="shared" si="16"/>
        <v/>
      </c>
      <c r="M63" s="1"/>
      <c r="N63" s="1"/>
      <c r="P63" s="1"/>
      <c r="Q63" s="1"/>
      <c r="R63" s="1"/>
      <c r="S63" s="1"/>
      <c r="T63" s="1"/>
      <c r="U63" s="1"/>
      <c r="V63" s="1"/>
      <c r="W63" s="1"/>
      <c r="X63" s="1"/>
      <c r="Y63" s="1"/>
      <c r="Z63" s="1"/>
      <c r="AA63" s="1"/>
      <c r="AB63" s="1">
        <v>1</v>
      </c>
    </row>
    <row r="64" spans="3:32">
      <c r="C64" s="34"/>
      <c r="D64" s="207"/>
      <c r="E64" s="35" t="s">
        <v>834</v>
      </c>
      <c r="F64" s="35" t="s">
        <v>833</v>
      </c>
      <c r="G64" s="36">
        <v>0.25340000000000001</v>
      </c>
      <c r="H64" s="36">
        <v>25</v>
      </c>
      <c r="I64" s="41">
        <f t="shared" si="21"/>
        <v>6.335</v>
      </c>
      <c r="J64" s="170"/>
      <c r="K64" s="180">
        <v>1</v>
      </c>
      <c r="L64" s="1" t="str">
        <f t="shared" si="16"/>
        <v/>
      </c>
      <c r="M64" s="1"/>
      <c r="N64" s="1"/>
      <c r="P64" s="1"/>
      <c r="Q64" s="1"/>
      <c r="R64" s="1"/>
      <c r="S64" s="1"/>
      <c r="T64" s="1"/>
      <c r="U64" s="1"/>
      <c r="V64" s="1"/>
      <c r="W64" s="1"/>
      <c r="X64" s="1"/>
      <c r="Y64" s="1"/>
      <c r="Z64" s="1"/>
      <c r="AA64" s="1"/>
      <c r="AB64" s="1"/>
    </row>
    <row r="65" spans="3:28">
      <c r="C65" s="34"/>
      <c r="D65" s="207"/>
      <c r="E65" s="35"/>
      <c r="F65" s="35"/>
      <c r="G65" s="36"/>
      <c r="H65" s="36"/>
      <c r="I65" s="41"/>
      <c r="J65" s="170"/>
      <c r="K65" s="33"/>
      <c r="L65" s="1" t="str">
        <f t="shared" si="16"/>
        <v/>
      </c>
      <c r="M65" s="1"/>
      <c r="N65" s="1"/>
      <c r="P65" s="1"/>
      <c r="Q65" s="1"/>
      <c r="R65" s="1"/>
      <c r="S65" s="1"/>
      <c r="T65" s="1"/>
      <c r="U65" s="1"/>
      <c r="V65" s="1"/>
      <c r="W65" s="1"/>
      <c r="X65" s="1"/>
      <c r="Y65" s="1"/>
      <c r="Z65" s="1"/>
      <c r="AA65" s="1"/>
      <c r="AB65" s="1"/>
    </row>
    <row r="66" spans="3:28">
      <c r="C66" s="34"/>
      <c r="D66" s="207"/>
      <c r="E66" s="35"/>
      <c r="F66" s="35"/>
      <c r="G66" s="36"/>
      <c r="H66" s="36"/>
      <c r="I66" s="41"/>
      <c r="J66" s="170"/>
      <c r="K66" s="33"/>
      <c r="L66" s="1" t="str">
        <f t="shared" si="16"/>
        <v/>
      </c>
      <c r="M66" s="1"/>
      <c r="N66" s="1"/>
      <c r="P66" s="1"/>
      <c r="Q66" s="1"/>
      <c r="R66" s="1"/>
      <c r="S66" s="1"/>
      <c r="T66" s="1"/>
      <c r="U66" s="1"/>
      <c r="V66" s="1"/>
      <c r="W66" s="1"/>
      <c r="X66" s="1"/>
      <c r="Y66" s="1"/>
      <c r="Z66" s="1"/>
      <c r="AA66" s="1"/>
      <c r="AB66" s="1"/>
    </row>
    <row r="67" spans="3:28">
      <c r="C67" s="34"/>
      <c r="D67" s="207"/>
      <c r="E67" s="35"/>
      <c r="F67" s="35"/>
      <c r="G67" s="36"/>
      <c r="H67" s="36"/>
      <c r="I67" s="41"/>
      <c r="J67" s="170"/>
      <c r="K67" s="180"/>
      <c r="L67" s="1" t="str">
        <f t="shared" si="16"/>
        <v/>
      </c>
      <c r="M67" s="1"/>
      <c r="N67" s="1"/>
      <c r="P67" s="1"/>
      <c r="Q67" s="1"/>
      <c r="R67" s="1"/>
      <c r="S67" s="1"/>
      <c r="T67" s="1"/>
      <c r="U67" s="1"/>
      <c r="V67" s="1"/>
      <c r="W67" s="1"/>
      <c r="X67" s="1"/>
      <c r="Y67" s="1"/>
      <c r="Z67" s="1"/>
      <c r="AA67" s="1"/>
      <c r="AB67" s="1"/>
    </row>
    <row r="68" spans="3:28">
      <c r="C68" s="34"/>
      <c r="D68" s="207"/>
      <c r="E68" s="35"/>
      <c r="F68" s="35"/>
      <c r="G68" s="36"/>
      <c r="H68" s="36"/>
      <c r="I68" s="41"/>
      <c r="J68" s="170"/>
      <c r="K68" s="33"/>
      <c r="L68" s="1" t="str">
        <f t="shared" si="16"/>
        <v/>
      </c>
      <c r="M68" s="1"/>
      <c r="N68" s="1"/>
      <c r="P68" s="1"/>
      <c r="Q68" s="1"/>
      <c r="R68" s="1"/>
      <c r="S68" s="1"/>
      <c r="T68" s="1"/>
      <c r="U68" s="1"/>
      <c r="V68" s="1"/>
      <c r="W68" s="1"/>
      <c r="X68" s="1"/>
      <c r="Y68" s="1"/>
      <c r="Z68" s="1"/>
      <c r="AA68" s="1"/>
      <c r="AB68" s="1"/>
    </row>
    <row r="69" spans="3:28">
      <c r="C69" s="34"/>
      <c r="D69" s="207"/>
      <c r="E69" s="35"/>
      <c r="F69" s="35"/>
      <c r="G69" s="166"/>
      <c r="H69" s="36"/>
      <c r="I69" s="41"/>
      <c r="J69" s="170"/>
      <c r="K69" s="180"/>
      <c r="L69" s="1" t="str">
        <f t="shared" si="16"/>
        <v/>
      </c>
      <c r="M69" s="1"/>
      <c r="N69" s="1"/>
      <c r="P69" s="1"/>
      <c r="Q69" s="1"/>
      <c r="R69" s="1"/>
      <c r="S69" s="1"/>
      <c r="T69" s="1"/>
      <c r="U69" s="1"/>
      <c r="V69" s="1"/>
      <c r="W69" s="1"/>
      <c r="X69" s="1"/>
      <c r="Y69" s="1"/>
      <c r="Z69" s="1"/>
      <c r="AA69" s="1"/>
      <c r="AB69" s="1"/>
    </row>
    <row r="70" spans="3:28">
      <c r="C70" s="34"/>
      <c r="D70" s="207"/>
      <c r="E70" s="35"/>
      <c r="F70" s="35"/>
      <c r="G70" s="36"/>
      <c r="H70" s="36"/>
      <c r="I70" s="41"/>
      <c r="J70" s="170"/>
      <c r="K70" s="33"/>
      <c r="L70" s="1" t="str">
        <f t="shared" si="16"/>
        <v/>
      </c>
      <c r="M70" s="1"/>
      <c r="N70" s="1"/>
      <c r="P70" s="1"/>
      <c r="Q70" s="1"/>
      <c r="R70" s="1"/>
      <c r="S70" s="1"/>
      <c r="T70" s="1"/>
      <c r="U70" s="1"/>
      <c r="V70" s="1"/>
      <c r="W70" s="1"/>
      <c r="X70" s="1"/>
      <c r="Y70" s="1"/>
      <c r="Z70" s="1"/>
      <c r="AA70" s="1"/>
      <c r="AB70" s="1"/>
    </row>
    <row r="71" spans="3:28">
      <c r="C71" s="34"/>
      <c r="D71" s="207"/>
      <c r="E71" s="35"/>
      <c r="F71" s="35"/>
      <c r="G71" s="36"/>
      <c r="H71" s="36"/>
      <c r="I71" s="41"/>
      <c r="J71" s="170"/>
      <c r="K71" s="180"/>
      <c r="L71" s="1" t="str">
        <f t="shared" si="16"/>
        <v/>
      </c>
      <c r="M71" s="1"/>
      <c r="N71" s="1"/>
      <c r="P71" s="1"/>
      <c r="Q71" s="1"/>
      <c r="R71" s="1"/>
      <c r="S71" s="1"/>
      <c r="T71" s="1"/>
      <c r="U71" s="1"/>
      <c r="V71" s="1"/>
      <c r="W71" s="1"/>
      <c r="X71" s="1"/>
      <c r="Y71" s="1"/>
      <c r="Z71" s="1"/>
      <c r="AA71" s="1"/>
      <c r="AB71" s="1"/>
    </row>
    <row r="72" spans="3:28">
      <c r="C72" s="34"/>
      <c r="D72" s="207"/>
      <c r="E72" s="35"/>
      <c r="F72" s="35"/>
      <c r="G72" s="36"/>
      <c r="H72" s="36"/>
      <c r="I72" s="41"/>
      <c r="J72" s="170"/>
      <c r="K72" s="33"/>
      <c r="L72" s="1" t="str">
        <f t="shared" si="16"/>
        <v/>
      </c>
      <c r="M72" s="1"/>
      <c r="N72" s="1"/>
      <c r="P72" s="1"/>
      <c r="Q72" s="1"/>
      <c r="R72" s="1"/>
      <c r="S72" s="1"/>
      <c r="T72" s="1"/>
      <c r="U72" s="1"/>
      <c r="V72" s="1"/>
      <c r="W72" s="1"/>
      <c r="X72" s="1"/>
      <c r="Y72" s="1"/>
      <c r="Z72" s="1"/>
      <c r="AA72" s="1"/>
      <c r="AB72" s="1"/>
    </row>
    <row r="73" spans="3:28">
      <c r="C73" s="34"/>
      <c r="D73" s="207"/>
      <c r="E73" s="35"/>
      <c r="F73" s="35"/>
      <c r="G73" s="36"/>
      <c r="H73" s="36"/>
      <c r="I73" s="41"/>
      <c r="J73" s="170"/>
      <c r="K73" s="104"/>
      <c r="L73" s="1" t="str">
        <f t="shared" si="16"/>
        <v/>
      </c>
      <c r="M73" s="1"/>
      <c r="N73" s="1"/>
      <c r="P73" s="1"/>
      <c r="Q73" s="1"/>
      <c r="R73" s="1"/>
      <c r="S73" s="1"/>
      <c r="T73" s="1"/>
      <c r="U73" s="1"/>
      <c r="V73" s="1"/>
      <c r="W73" s="1"/>
      <c r="X73" s="1"/>
      <c r="Y73" s="1"/>
      <c r="Z73" s="1"/>
      <c r="AA73" s="1"/>
      <c r="AB73" s="1"/>
    </row>
    <row r="74" spans="3:28">
      <c r="C74" s="131"/>
      <c r="D74" s="665"/>
      <c r="E74" s="303"/>
      <c r="F74" s="303"/>
      <c r="G74" s="304"/>
      <c r="H74" s="304"/>
      <c r="I74" s="666"/>
      <c r="J74" s="667"/>
      <c r="K74" s="668"/>
      <c r="L74" s="1" t="str">
        <f t="shared" si="16"/>
        <v/>
      </c>
      <c r="M74" s="1"/>
      <c r="N74" s="1"/>
      <c r="P74" s="1"/>
      <c r="Q74" s="1"/>
      <c r="R74" s="1"/>
      <c r="S74" s="1"/>
      <c r="T74" s="1"/>
      <c r="U74" s="1"/>
      <c r="V74" s="1"/>
      <c r="W74" s="1"/>
      <c r="X74" s="1"/>
      <c r="Y74" s="1"/>
      <c r="Z74" s="1"/>
      <c r="AA74" s="1"/>
      <c r="AB74" s="1"/>
    </row>
    <row r="76" spans="3:28">
      <c r="M76" s="26" t="s">
        <v>346</v>
      </c>
    </row>
    <row r="77" spans="3:28" ht="15" thickBot="1">
      <c r="M77" s="1">
        <f>SUM($L$80:$L$92)</f>
        <v>9</v>
      </c>
    </row>
    <row r="78" spans="3:28">
      <c r="C78" s="765" t="s">
        <v>4</v>
      </c>
      <c r="D78" s="762"/>
      <c r="E78" s="766"/>
      <c r="F78" s="766"/>
      <c r="G78" s="4" t="s">
        <v>42</v>
      </c>
      <c r="H78" s="4" t="s">
        <v>207</v>
      </c>
      <c r="J78" s="26" t="s">
        <v>245</v>
      </c>
      <c r="K78" s="26" t="s">
        <v>684</v>
      </c>
      <c r="L78" s="26" t="s">
        <v>281</v>
      </c>
    </row>
    <row r="79" spans="3:28">
      <c r="C79" s="250" t="s">
        <v>270</v>
      </c>
      <c r="D79" s="250" t="s">
        <v>245</v>
      </c>
      <c r="E79" s="210" t="s">
        <v>30</v>
      </c>
      <c r="F79" s="210" t="s">
        <v>16</v>
      </c>
      <c r="G79" s="210" t="s">
        <v>7</v>
      </c>
      <c r="H79" s="210" t="s">
        <v>45</v>
      </c>
      <c r="J79" s="26" t="s">
        <v>432</v>
      </c>
      <c r="K79" s="26" t="s">
        <v>432</v>
      </c>
      <c r="L79" s="26" t="s">
        <v>432</v>
      </c>
      <c r="M79" s="335" t="s">
        <v>531</v>
      </c>
    </row>
    <row r="80" spans="3:28">
      <c r="C80" s="207"/>
      <c r="D80" s="247" t="s">
        <v>420</v>
      </c>
      <c r="E80" s="35" t="s">
        <v>539</v>
      </c>
      <c r="F80" s="35" t="str">
        <f>z_CustomWBData</f>
        <v>_Custom Weight Bar Data</v>
      </c>
      <c r="G80" s="43"/>
      <c r="H80" s="301" t="str">
        <f>IFERROR(IF(i_wbballast_Custom&gt;0,i_wbballast_Custom/IF(i_Units="Metric",1,INDEX(T_Units[Factor],MATCH("g/m",T_Units[Metric],0))),"-"),"-")</f>
        <v>-</v>
      </c>
      <c r="J80" s="1">
        <f t="shared" ref="J80:J81" si="22">IF(i_Region="Global",1,IF(OR(i_Region=D80,D80="Global"),1,0))</f>
        <v>1</v>
      </c>
      <c r="K80" s="1">
        <f>IF(INDEX('3. Hardware Options'!$J$6:$J$28,MATCH(T_WeightBars[[#This Row],[Description]],'3. Hardware Options'!$G$6:$G$28,0))="Show",1,0)</f>
        <v>1</v>
      </c>
      <c r="L80" s="1">
        <f>SUMPRODUCT(J80,K80)</f>
        <v>1</v>
      </c>
      <c r="M80" t="str" cm="1">
        <f t="array" ref="M80:M88">_xlfn._xlws.FILTER($F$80:$F$91,$L$80:$L$91)</f>
        <v>_Custom Weight Bar Data</v>
      </c>
    </row>
    <row r="81" spans="3:17">
      <c r="C81" s="247"/>
      <c r="D81" s="247" t="s">
        <v>266</v>
      </c>
      <c r="E81" s="38" t="s">
        <v>244</v>
      </c>
      <c r="F81" s="38" t="s">
        <v>329</v>
      </c>
      <c r="G81" s="39"/>
      <c r="H81" s="523">
        <v>186</v>
      </c>
      <c r="J81" s="1">
        <f t="shared" si="22"/>
        <v>0</v>
      </c>
      <c r="K81" s="1">
        <f>IF(INDEX('3. Hardware Options'!$J$6:$J$28,MATCH(T_WeightBars[[#This Row],[Description]],'3. Hardware Options'!$G$6:$G$28,0))="Show",1,0)</f>
        <v>1</v>
      </c>
      <c r="L81" s="1">
        <f t="shared" ref="L81" si="23">SUMPRODUCT(J81,K81)</f>
        <v>0</v>
      </c>
      <c r="M81" t="str">
        <v>Flat Bottom Rail</v>
      </c>
    </row>
    <row r="82" spans="3:17">
      <c r="C82" s="207"/>
      <c r="D82" s="207" t="s">
        <v>266</v>
      </c>
      <c r="E82" s="35" t="s">
        <v>244</v>
      </c>
      <c r="F82" t="s">
        <v>714</v>
      </c>
      <c r="H82" s="178">
        <v>250</v>
      </c>
      <c r="J82" s="1">
        <f t="shared" ref="J82:J91" si="24">IF(i_Region="Global",1,IF(OR(i_Region=D82,D82="Global"),1,0))</f>
        <v>0</v>
      </c>
      <c r="K82" s="1">
        <f>IF(INDEX('3. Hardware Options'!$J$6:$J$28,MATCH(T_WeightBars[[#This Row],[Description]],'3. Hardware Options'!$G$6:$G$28,0))="Show",1,0)</f>
        <v>1</v>
      </c>
      <c r="L82" s="1">
        <f t="shared" ref="L82:L91" si="25">SUMPRODUCT(J82,K82)</f>
        <v>0</v>
      </c>
      <c r="M82" t="str">
        <v>Round Bottom Rail</v>
      </c>
    </row>
    <row r="83" spans="3:17">
      <c r="C83" s="207"/>
      <c r="D83" s="207" t="s">
        <v>266</v>
      </c>
      <c r="E83" s="35" t="s">
        <v>244</v>
      </c>
      <c r="F83" t="s">
        <v>1146</v>
      </c>
      <c r="H83" s="178">
        <v>235</v>
      </c>
      <c r="J83" s="1">
        <f t="shared" ref="J83" si="26">IF(i_Region="Global",1,IF(OR(i_Region=D83,D83="Global"),1,0))</f>
        <v>0</v>
      </c>
      <c r="K83" s="1">
        <f>IF(INDEX('3. Hardware Options'!$J$6:$J$28,MATCH(T_WeightBars[[#This Row],[Description]],'3. Hardware Options'!$G$6:$G$28,0))="Show",1,0)</f>
        <v>1</v>
      </c>
      <c r="L83" s="1">
        <f t="shared" ref="L83" si="27">SUMPRODUCT(J83,K83)</f>
        <v>0</v>
      </c>
      <c r="M83" t="str">
        <v>Oval Bottom Rail</v>
      </c>
    </row>
    <row r="84" spans="3:17">
      <c r="C84" s="240"/>
      <c r="D84" s="247" t="s">
        <v>265</v>
      </c>
      <c r="E84" s="38" t="s">
        <v>244</v>
      </c>
      <c r="F84" s="14" t="s">
        <v>326</v>
      </c>
      <c r="G84" s="15">
        <v>89</v>
      </c>
      <c r="H84" s="136">
        <v>240</v>
      </c>
      <c r="J84" s="1">
        <f t="shared" si="24"/>
        <v>1</v>
      </c>
      <c r="K84" s="1">
        <f>IF(INDEX('3. Hardware Options'!$J$6:$J$28,MATCH(T_WeightBars[[#This Row],[Description]],'3. Hardware Options'!$G$6:$G$28,0))="Show",1,0)</f>
        <v>1</v>
      </c>
      <c r="L84" s="1">
        <f t="shared" si="25"/>
        <v>1</v>
      </c>
      <c r="M84" t="str">
        <v>D30 Medium Bottom Rail</v>
      </c>
    </row>
    <row r="85" spans="3:17">
      <c r="C85" s="207"/>
      <c r="D85" s="247" t="s">
        <v>265</v>
      </c>
      <c r="E85" s="38" t="s">
        <v>244</v>
      </c>
      <c r="F85" s="35" t="s">
        <v>328</v>
      </c>
      <c r="G85" s="36">
        <v>98</v>
      </c>
      <c r="H85" s="524">
        <v>260</v>
      </c>
      <c r="J85" s="1">
        <f t="shared" si="24"/>
        <v>1</v>
      </c>
      <c r="K85" s="1">
        <f>IF(INDEX('3. Hardware Options'!$J$6:$J$28,MATCH(T_WeightBars[[#This Row],[Description]],'3. Hardware Options'!$G$6:$G$28,0))="Show",1,0)</f>
        <v>1</v>
      </c>
      <c r="L85" s="1">
        <f t="shared" si="25"/>
        <v>1</v>
      </c>
      <c r="M85" t="str">
        <v>Bottom Up Weight Bar</v>
      </c>
    </row>
    <row r="86" spans="3:17">
      <c r="C86" s="207"/>
      <c r="D86" s="247" t="s">
        <v>265</v>
      </c>
      <c r="E86" s="38" t="s">
        <v>244</v>
      </c>
      <c r="F86" s="35" t="s">
        <v>327</v>
      </c>
      <c r="G86" s="36">
        <v>105</v>
      </c>
      <c r="H86" s="524">
        <v>280</v>
      </c>
      <c r="J86" s="1">
        <f t="shared" si="24"/>
        <v>1</v>
      </c>
      <c r="K86" s="1">
        <f>IF(INDEX('3. Hardware Options'!$J$6:$J$28,MATCH(T_WeightBars[[#This Row],[Description]],'3. Hardware Options'!$G$6:$G$28,0))="Show",1,0)</f>
        <v>1</v>
      </c>
      <c r="L86" s="1">
        <f t="shared" si="25"/>
        <v>1</v>
      </c>
      <c r="M86" t="str">
        <v>F4115 Heavy Duty Bottom Rail</v>
      </c>
    </row>
    <row r="87" spans="3:17">
      <c r="C87" s="207"/>
      <c r="D87" s="247" t="s">
        <v>420</v>
      </c>
      <c r="E87" s="38" t="s">
        <v>244</v>
      </c>
      <c r="F87" s="35" t="s">
        <v>568</v>
      </c>
      <c r="G87" s="36">
        <v>107</v>
      </c>
      <c r="H87" s="524">
        <v>306</v>
      </c>
      <c r="J87" s="1">
        <f t="shared" si="24"/>
        <v>1</v>
      </c>
      <c r="K87" s="1">
        <f>IF(INDEX('3. Hardware Options'!$J$6:$J$28,MATCH(T_WeightBars[[#This Row],[Description]],'3. Hardware Options'!$G$6:$G$28,0))="Show",1,0)</f>
        <v>1</v>
      </c>
      <c r="L87" s="1">
        <f t="shared" si="25"/>
        <v>1</v>
      </c>
      <c r="M87" t="str">
        <v>F56 HD Weight Bar</v>
      </c>
    </row>
    <row r="88" spans="3:17">
      <c r="C88" s="207"/>
      <c r="D88" s="247" t="s">
        <v>420</v>
      </c>
      <c r="E88" s="38" t="s">
        <v>244</v>
      </c>
      <c r="F88" s="35" t="s">
        <v>715</v>
      </c>
      <c r="G88" s="36">
        <v>160</v>
      </c>
      <c r="H88" s="524">
        <v>433</v>
      </c>
      <c r="J88" s="1">
        <f t="shared" si="24"/>
        <v>1</v>
      </c>
      <c r="K88" s="1">
        <f>IF(INDEX('3. Hardware Options'!$J$6:$J$28,MATCH(T_WeightBars[[#This Row],[Description]],'3. Hardware Options'!$G$6:$G$28,0))="Show",1,0)</f>
        <v>1</v>
      </c>
      <c r="L88" s="1">
        <f t="shared" si="25"/>
        <v>1</v>
      </c>
      <c r="M88" t="str">
        <v>F72 HD Weight Bar</v>
      </c>
    </row>
    <row r="89" spans="3:17">
      <c r="C89" s="207"/>
      <c r="D89" s="247" t="s">
        <v>265</v>
      </c>
      <c r="E89" s="38" t="s">
        <v>244</v>
      </c>
      <c r="F89" s="35" t="s">
        <v>567</v>
      </c>
      <c r="G89" s="36">
        <v>206</v>
      </c>
      <c r="H89" s="524">
        <v>540</v>
      </c>
      <c r="J89" s="1">
        <f t="shared" si="24"/>
        <v>1</v>
      </c>
      <c r="K89" s="1">
        <f>IF(INDEX('3. Hardware Options'!$J$6:$J$28,MATCH(T_WeightBars[[#This Row],[Description]],'3. Hardware Options'!$G$6:$G$28,0))="Show",1,0)</f>
        <v>1</v>
      </c>
      <c r="L89" s="1">
        <f t="shared" si="25"/>
        <v>1</v>
      </c>
    </row>
    <row r="90" spans="3:17">
      <c r="C90" s="207"/>
      <c r="D90" s="251" t="s">
        <v>420</v>
      </c>
      <c r="E90" s="35" t="s">
        <v>244</v>
      </c>
      <c r="F90" s="14" t="s">
        <v>387</v>
      </c>
      <c r="G90" s="15"/>
      <c r="H90" s="136">
        <v>1295</v>
      </c>
      <c r="J90" s="1">
        <f t="shared" si="24"/>
        <v>1</v>
      </c>
      <c r="K90" s="1">
        <f>IF(INDEX('3. Hardware Options'!$J$6:$J$28,MATCH(T_WeightBars[[#This Row],[Description]],'3. Hardware Options'!$G$6:$G$28,0))="Show",1,0)</f>
        <v>1</v>
      </c>
      <c r="L90" s="1">
        <f t="shared" si="25"/>
        <v>1</v>
      </c>
    </row>
    <row r="91" spans="3:17">
      <c r="C91" s="207"/>
      <c r="D91" s="207" t="s">
        <v>420</v>
      </c>
      <c r="E91" s="35" t="s">
        <v>244</v>
      </c>
      <c r="F91" s="35" t="s">
        <v>388</v>
      </c>
      <c r="G91" s="36"/>
      <c r="H91" s="524">
        <v>2012</v>
      </c>
      <c r="J91" s="1">
        <f t="shared" si="24"/>
        <v>1</v>
      </c>
      <c r="K91" s="1">
        <f>IF(INDEX('3. Hardware Options'!$J$6:$J$28,MATCH(T_WeightBars[[#This Row],[Description]],'3. Hardware Options'!$G$6:$G$28,0))="Show",1,0)</f>
        <v>1</v>
      </c>
      <c r="L91" s="1">
        <f t="shared" si="25"/>
        <v>1</v>
      </c>
      <c r="Q91" s="268" t="s">
        <v>778</v>
      </c>
    </row>
    <row r="92" spans="3:17">
      <c r="G92" s="1"/>
      <c r="H92" s="178"/>
      <c r="J92" s="1"/>
      <c r="K92" s="1"/>
      <c r="L92" s="1"/>
    </row>
    <row r="94" spans="3:17">
      <c r="F94" t="s">
        <v>1036</v>
      </c>
      <c r="I94" t="s">
        <v>1037</v>
      </c>
    </row>
    <row r="95" spans="3:17">
      <c r="F95" s="1" t="e">
        <f>wb_UnitMass</f>
        <v>#N/A</v>
      </c>
    </row>
    <row r="96" spans="3:17">
      <c r="I96" s="26">
        <f>i_Ballast</f>
        <v>0</v>
      </c>
      <c r="L96" s="26" t="s">
        <v>346</v>
      </c>
    </row>
    <row r="97" spans="3:24" ht="15" thickBot="1">
      <c r="D97" s="268" t="s">
        <v>1040</v>
      </c>
      <c r="J97" s="149" t="s">
        <v>343</v>
      </c>
      <c r="K97" s="140" t="e">
        <f>IF(SUM($J$100:$J$104)=0,1,COUNTIF($J$100:$J$104,"&gt;0"))</f>
        <v>#N/A</v>
      </c>
      <c r="L97" s="1" t="e">
        <f>SUM(J100:J109)</f>
        <v>#N/A</v>
      </c>
    </row>
    <row r="98" spans="3:24">
      <c r="C98" s="253" t="s">
        <v>91</v>
      </c>
      <c r="D98" s="254"/>
      <c r="E98" s="255"/>
    </row>
    <row r="99" spans="3:24" ht="15" thickBot="1">
      <c r="C99" s="210" t="s">
        <v>245</v>
      </c>
      <c r="D99" s="210" t="s">
        <v>16</v>
      </c>
      <c r="E99" s="211" t="s">
        <v>1147</v>
      </c>
      <c r="F99" s="250" t="s">
        <v>1017</v>
      </c>
      <c r="G99" s="250" t="s">
        <v>1150</v>
      </c>
      <c r="H99" s="250" t="s">
        <v>1148</v>
      </c>
      <c r="J99" s="26" t="s">
        <v>432</v>
      </c>
      <c r="L99" s="335" t="s">
        <v>564</v>
      </c>
      <c r="N99" s="682" t="s">
        <v>329</v>
      </c>
      <c r="O99" s="682" t="s">
        <v>714</v>
      </c>
      <c r="P99" s="682" t="s">
        <v>1146</v>
      </c>
      <c r="Q99" s="682" t="s">
        <v>326</v>
      </c>
      <c r="R99" s="682" t="s">
        <v>328</v>
      </c>
      <c r="S99" s="682" t="s">
        <v>327</v>
      </c>
      <c r="T99" s="682" t="s">
        <v>568</v>
      </c>
      <c r="U99" s="682" t="s">
        <v>715</v>
      </c>
      <c r="V99" s="682" t="s">
        <v>567</v>
      </c>
      <c r="W99" s="682" t="s">
        <v>387</v>
      </c>
      <c r="X99" s="682" t="s">
        <v>388</v>
      </c>
    </row>
    <row r="100" spans="3:24" ht="15" thickTop="1">
      <c r="C100" s="10" t="s">
        <v>420</v>
      </c>
      <c r="D100" s="10" t="s">
        <v>271</v>
      </c>
      <c r="E100" s="22">
        <v>0</v>
      </c>
      <c r="F100" s="560">
        <v>1</v>
      </c>
      <c r="G100" s="577">
        <v>1</v>
      </c>
      <c r="H100" s="245" t="e" cm="1">
        <f t="array" ref="H100">INDEX(N100:X100,,MATCH(i_wb,$N$99:$X$99,0))</f>
        <v>#N/A</v>
      </c>
      <c r="J100" s="560" t="e">
        <f t="shared" ref="J100:J106" si="28">IF(i_wb&lt;&gt;z_CustomEntry,PRODUCT(F100:H100),0)</f>
        <v>#N/A</v>
      </c>
      <c r="L100" t="str" cm="1">
        <f t="array" ref="L100">IFERROR(_xlfn._xlws.FILTER(Ballast_Description,$J$100:$J$106),"")</f>
        <v/>
      </c>
      <c r="N100" s="681">
        <v>1</v>
      </c>
      <c r="O100" s="681">
        <v>1</v>
      </c>
      <c r="P100" s="681">
        <v>1</v>
      </c>
      <c r="Q100" s="681">
        <v>1</v>
      </c>
      <c r="R100" s="681">
        <v>1</v>
      </c>
      <c r="S100" s="681">
        <v>1</v>
      </c>
      <c r="T100" s="681">
        <v>1</v>
      </c>
      <c r="U100" s="681">
        <v>1</v>
      </c>
      <c r="V100" s="681">
        <v>1</v>
      </c>
      <c r="W100" s="681">
        <v>1</v>
      </c>
      <c r="X100" s="681">
        <v>1</v>
      </c>
    </row>
    <row r="101" spans="3:24">
      <c r="C101" s="10" t="s">
        <v>420</v>
      </c>
      <c r="D101" s="14" t="s">
        <v>1034</v>
      </c>
      <c r="E101" s="23">
        <v>0.8</v>
      </c>
      <c r="F101" s="560">
        <v>1</v>
      </c>
      <c r="G101" s="577">
        <v>1</v>
      </c>
      <c r="H101" s="245" t="e" cm="1">
        <f t="array" ref="H101">INDEX(N101:X101,,MATCH(i_wb,$N$99:$X$99,0))</f>
        <v>#N/A</v>
      </c>
      <c r="J101" s="560" t="e">
        <f t="shared" si="28"/>
        <v>#N/A</v>
      </c>
      <c r="N101" s="245"/>
      <c r="O101" s="245"/>
      <c r="P101" s="245"/>
      <c r="Q101" s="245"/>
      <c r="R101" s="245"/>
      <c r="S101" s="245"/>
      <c r="T101" s="245"/>
      <c r="U101" s="245"/>
      <c r="V101" s="245"/>
      <c r="W101" s="245">
        <v>1</v>
      </c>
      <c r="X101" s="245"/>
    </row>
    <row r="102" spans="3:24">
      <c r="C102" s="10" t="s">
        <v>420</v>
      </c>
      <c r="D102" s="14" t="s">
        <v>537</v>
      </c>
      <c r="E102" s="23">
        <v>1.6</v>
      </c>
      <c r="F102" s="560">
        <v>1</v>
      </c>
      <c r="G102" s="577">
        <v>1</v>
      </c>
      <c r="H102" s="245" t="e" cm="1">
        <f t="array" ref="H102">INDEX(N102:X102,,MATCH(i_wb,$N$99:$X$99,0))</f>
        <v>#N/A</v>
      </c>
      <c r="J102" s="560" t="e">
        <f t="shared" si="28"/>
        <v>#N/A</v>
      </c>
      <c r="N102" s="245"/>
      <c r="O102" s="245"/>
      <c r="P102" s="245"/>
      <c r="Q102" s="245"/>
      <c r="R102" s="245"/>
      <c r="S102" s="245"/>
      <c r="T102" s="245"/>
      <c r="U102" s="245"/>
      <c r="V102" s="245"/>
      <c r="W102" s="245">
        <v>1</v>
      </c>
      <c r="X102" s="245"/>
    </row>
    <row r="103" spans="3:24">
      <c r="C103" s="10" t="s">
        <v>420</v>
      </c>
      <c r="D103" s="14" t="s">
        <v>1035</v>
      </c>
      <c r="E103" s="23">
        <v>1.6</v>
      </c>
      <c r="F103" s="560">
        <v>1</v>
      </c>
      <c r="G103" s="577">
        <v>1</v>
      </c>
      <c r="H103" s="245" t="e" cm="1">
        <f t="array" ref="H103">INDEX(N103:X103,,MATCH(i_wb,$N$99:$X$99,0))</f>
        <v>#N/A</v>
      </c>
      <c r="J103" s="560" t="e">
        <f t="shared" si="28"/>
        <v>#N/A</v>
      </c>
      <c r="N103" s="245"/>
      <c r="O103" s="245"/>
      <c r="P103" s="245"/>
      <c r="Q103" s="245"/>
      <c r="R103" s="245"/>
      <c r="S103" s="245"/>
      <c r="T103" s="245"/>
      <c r="U103" s="245"/>
      <c r="V103" s="245"/>
      <c r="W103" s="245"/>
      <c r="X103" s="245">
        <v>1</v>
      </c>
    </row>
    <row r="104" spans="3:24">
      <c r="C104" s="10" t="s">
        <v>420</v>
      </c>
      <c r="D104" s="14" t="s">
        <v>538</v>
      </c>
      <c r="E104" s="23">
        <v>3.2</v>
      </c>
      <c r="F104" s="560">
        <v>1</v>
      </c>
      <c r="G104" s="577">
        <v>1</v>
      </c>
      <c r="H104" s="245" t="e" cm="1">
        <f t="array" ref="H104">INDEX(N104:X104,,MATCH(i_wb,$N$99:$X$99,0))</f>
        <v>#N/A</v>
      </c>
      <c r="J104" s="560" t="e">
        <f t="shared" si="28"/>
        <v>#N/A</v>
      </c>
      <c r="N104" s="245"/>
      <c r="O104" s="245"/>
      <c r="P104" s="245"/>
      <c r="Q104" s="245"/>
      <c r="R104" s="245"/>
      <c r="S104" s="245"/>
      <c r="T104" s="245"/>
      <c r="U104" s="245"/>
      <c r="V104" s="245"/>
      <c r="W104" s="245"/>
      <c r="X104" s="245">
        <v>1</v>
      </c>
    </row>
    <row r="105" spans="3:24">
      <c r="C105" s="14" t="s">
        <v>420</v>
      </c>
      <c r="D105" s="14" t="s">
        <v>1151</v>
      </c>
      <c r="E105" s="23">
        <v>0.23</v>
      </c>
      <c r="F105" s="560">
        <v>1</v>
      </c>
      <c r="G105" s="577">
        <v>1</v>
      </c>
      <c r="H105" s="245" t="e" cm="1">
        <f t="array" ref="H105">INDEX(N105:X105,,MATCH(i_wb,$N$99:$X$99,0))</f>
        <v>#N/A</v>
      </c>
      <c r="J105" s="560" t="e">
        <f t="shared" si="28"/>
        <v>#N/A</v>
      </c>
      <c r="N105" s="245"/>
      <c r="O105" s="245"/>
      <c r="P105" s="245">
        <v>1</v>
      </c>
      <c r="Q105" s="245">
        <v>1</v>
      </c>
      <c r="R105" s="245">
        <v>1</v>
      </c>
      <c r="S105" s="245">
        <v>1</v>
      </c>
      <c r="T105" s="245">
        <v>1</v>
      </c>
      <c r="U105" s="245">
        <v>1</v>
      </c>
      <c r="V105" s="245">
        <v>1</v>
      </c>
      <c r="W105" s="245"/>
      <c r="X105" s="245"/>
    </row>
    <row r="106" spans="3:24">
      <c r="C106" s="35" t="s">
        <v>420</v>
      </c>
      <c r="D106" t="s">
        <v>1152</v>
      </c>
      <c r="E106" s="23">
        <f>E105*2</f>
        <v>0.46</v>
      </c>
      <c r="F106" s="577">
        <f>IF(i_ControlType="Easy Spring Air",0,1)</f>
        <v>1</v>
      </c>
      <c r="G106" s="577">
        <v>1</v>
      </c>
      <c r="H106" s="245" t="e" cm="1">
        <f t="array" ref="H106">INDEX(N106:X106,,MATCH(i_wb,$N$99:$X$99,0))</f>
        <v>#N/A</v>
      </c>
      <c r="J106" s="560" t="e">
        <f t="shared" si="28"/>
        <v>#N/A</v>
      </c>
      <c r="N106" s="245"/>
      <c r="O106" s="245"/>
      <c r="P106" s="245"/>
      <c r="Q106" s="245"/>
      <c r="R106" s="245"/>
      <c r="S106" s="245"/>
      <c r="T106" s="245">
        <v>1</v>
      </c>
      <c r="U106" s="245">
        <v>1</v>
      </c>
      <c r="V106" s="245">
        <v>1</v>
      </c>
      <c r="W106" s="245"/>
      <c r="X106" s="245"/>
    </row>
    <row r="107" spans="3:24">
      <c r="G107" s="1"/>
      <c r="H107" s="178"/>
      <c r="J107" s="1"/>
      <c r="K107" s="1"/>
      <c r="L107" s="1"/>
    </row>
    <row r="108" spans="3:24">
      <c r="G108" s="1" t="s">
        <v>1149</v>
      </c>
      <c r="H108" s="178"/>
      <c r="J108" s="1"/>
      <c r="K108" s="1"/>
      <c r="L108" s="1"/>
    </row>
    <row r="109" spans="3:24">
      <c r="G109" s="1"/>
      <c r="H109" s="178"/>
      <c r="J109" s="1"/>
      <c r="K109" s="1"/>
      <c r="L109" s="1"/>
    </row>
    <row r="110" spans="3:24" ht="15" thickBot="1"/>
    <row r="111" spans="3:24">
      <c r="K111" s="2"/>
      <c r="L111" s="3"/>
      <c r="S111" s="271" t="s">
        <v>324</v>
      </c>
    </row>
    <row r="112" spans="3:24" ht="15" thickBot="1">
      <c r="L112" s="158" t="e">
        <f>o_tMax_Sum</f>
        <v>#N/A</v>
      </c>
      <c r="M112" t="s">
        <v>802</v>
      </c>
      <c r="S112" s="270" t="str" cm="1">
        <f t="array" ref="S112">IFERROR(IF(i_ControlType="Motor",z_ReferCatalogue,INDEX(T_Adaptors[Adaptor Code],MATCH(INDEX($T$117:$T$134,MATCH(i_Control,$F$117:$F$134,0)),T_Adaptors[ID],0))),"")</f>
        <v/>
      </c>
    </row>
    <row r="113" spans="3:46" ht="26">
      <c r="E113" s="679" t="s">
        <v>1038</v>
      </c>
      <c r="F113" s="677"/>
      <c r="G113" s="678"/>
      <c r="H113" s="678"/>
      <c r="I113" s="260"/>
      <c r="J113" s="260"/>
      <c r="L113" s="495" t="e">
        <f>o_fabric_wb_mass1</f>
        <v>#VALUE!</v>
      </c>
      <c r="M113" s="415" t="s">
        <v>3</v>
      </c>
      <c r="N113" s="415"/>
    </row>
    <row r="114" spans="3:46" ht="15" thickBot="1">
      <c r="K114" s="153" t="s">
        <v>779</v>
      </c>
      <c r="L114" s="26">
        <f>i_Tube</f>
        <v>0</v>
      </c>
      <c r="R114" s="149" t="s">
        <v>283</v>
      </c>
      <c r="S114" s="347" t="e">
        <f>IF(SUM($T$117:$T$146)=0,1,COUNTIF($T$117:$T$146,"&gt;0"))</f>
        <v>#N/A</v>
      </c>
      <c r="V114" s="252" t="s">
        <v>280</v>
      </c>
      <c r="W114" s="260"/>
      <c r="X114" s="260"/>
    </row>
    <row r="115" spans="3:46" ht="15" thickBot="1">
      <c r="C115" s="765" t="s">
        <v>225</v>
      </c>
      <c r="D115" s="762"/>
      <c r="E115" s="766"/>
      <c r="F115" s="766"/>
      <c r="G115" s="4" t="s">
        <v>40</v>
      </c>
      <c r="H115" s="4" t="s">
        <v>41</v>
      </c>
      <c r="I115" s="4" t="s">
        <v>41</v>
      </c>
      <c r="J115" s="5" t="s">
        <v>41</v>
      </c>
      <c r="K115" s="185" t="s">
        <v>777</v>
      </c>
      <c r="L115" s="1"/>
      <c r="M115" s="26" t="s">
        <v>685</v>
      </c>
      <c r="N115" s="26" t="s">
        <v>40</v>
      </c>
      <c r="V115" s="1">
        <v>1</v>
      </c>
      <c r="W115" s="1">
        <v>2</v>
      </c>
      <c r="X115" s="1">
        <v>3</v>
      </c>
      <c r="Y115" s="1">
        <v>4</v>
      </c>
      <c r="Z115" s="1">
        <v>5</v>
      </c>
      <c r="AA115" s="1">
        <v>6</v>
      </c>
      <c r="AB115" s="1">
        <v>7</v>
      </c>
    </row>
    <row r="116" spans="3:46" ht="15" thickBot="1">
      <c r="C116" s="28" t="s">
        <v>245</v>
      </c>
      <c r="D116" s="250"/>
      <c r="E116" s="209" t="s">
        <v>183</v>
      </c>
      <c r="F116" s="210" t="s">
        <v>16</v>
      </c>
      <c r="G116" s="210" t="s">
        <v>9</v>
      </c>
      <c r="H116" s="210" t="s">
        <v>39</v>
      </c>
      <c r="I116" s="210" t="s">
        <v>808</v>
      </c>
      <c r="J116" s="210" t="s">
        <v>10</v>
      </c>
      <c r="K116" s="211" t="s">
        <v>22</v>
      </c>
      <c r="L116" s="210" t="s">
        <v>565</v>
      </c>
      <c r="M116" s="210" t="s">
        <v>272</v>
      </c>
      <c r="N116" s="210" t="s">
        <v>1029</v>
      </c>
      <c r="O116" s="115" t="s">
        <v>462</v>
      </c>
      <c r="P116" s="26" t="s">
        <v>463</v>
      </c>
      <c r="Q116" s="26" t="s">
        <v>464</v>
      </c>
      <c r="R116" s="26" t="s">
        <v>461</v>
      </c>
      <c r="S116" s="26" t="s">
        <v>282</v>
      </c>
      <c r="T116" s="271" t="s">
        <v>281</v>
      </c>
      <c r="U116" s="252" t="s">
        <v>273</v>
      </c>
      <c r="W116" s="395" t="s">
        <v>586</v>
      </c>
      <c r="X116" s="395" t="s">
        <v>587</v>
      </c>
      <c r="Y116" s="395" t="s">
        <v>33</v>
      </c>
      <c r="Z116" s="395" t="s">
        <v>34</v>
      </c>
      <c r="AA116" s="395" t="s">
        <v>1127</v>
      </c>
      <c r="AB116" s="395" t="s">
        <v>13</v>
      </c>
      <c r="AC116" s="395" t="s">
        <v>588</v>
      </c>
      <c r="AD116" s="395" t="s">
        <v>589</v>
      </c>
      <c r="AE116" s="395" t="s">
        <v>139</v>
      </c>
      <c r="AF116" s="395" t="s">
        <v>140</v>
      </c>
      <c r="AG116" s="395" t="s">
        <v>141</v>
      </c>
      <c r="AH116" s="395" t="s">
        <v>142</v>
      </c>
      <c r="AI116" s="395" t="s">
        <v>109</v>
      </c>
      <c r="AJ116" s="395" t="s">
        <v>108</v>
      </c>
      <c r="AK116" s="395" t="s">
        <v>90</v>
      </c>
      <c r="AL116" s="395" t="s">
        <v>102</v>
      </c>
      <c r="AM116" s="395" t="s">
        <v>103</v>
      </c>
      <c r="AN116" s="395" t="s">
        <v>590</v>
      </c>
      <c r="AO116" s="396" t="s">
        <v>591</v>
      </c>
      <c r="AP116" s="396" t="s">
        <v>592</v>
      </c>
      <c r="AQ116" s="396" t="s">
        <v>593</v>
      </c>
      <c r="AR116" s="395" t="s">
        <v>125</v>
      </c>
      <c r="AS116" s="395" t="s">
        <v>126</v>
      </c>
      <c r="AT116" s="395" t="s">
        <v>594</v>
      </c>
    </row>
    <row r="117" spans="3:46" ht="15" thickTop="1">
      <c r="C117" s="315" t="s">
        <v>420</v>
      </c>
      <c r="D117" s="206" t="s">
        <v>308</v>
      </c>
      <c r="E117" s="206" t="str">
        <f t="shared" ref="E117:E134" si="29">z_Clutch</f>
        <v>Clutch</v>
      </c>
      <c r="F117" s="10" t="s">
        <v>332</v>
      </c>
      <c r="G117" s="11">
        <v>58.42</v>
      </c>
      <c r="H117" s="11">
        <v>2.04</v>
      </c>
      <c r="I117" s="525">
        <f>G200_Capacity+$I$47</f>
        <v>4.5600000000000005</v>
      </c>
      <c r="J117" s="11">
        <v>1.77</v>
      </c>
      <c r="K117" s="22">
        <v>0.23</v>
      </c>
      <c r="L117" s="229"/>
      <c r="M117" s="495" t="str">
        <f t="shared" ref="M117:M146" si="30">IFERROR(IF($H117&lt;&gt;"",(($H117)/((Tube_OD/2/1000)))/g,""),"-")</f>
        <v>-</v>
      </c>
      <c r="N117" s="158">
        <v>172</v>
      </c>
      <c r="O117" s="178">
        <f>IF(INDEX('3. Hardware Options'!$O$6:$O$50,MATCH(T_Controls[[#This Row],[Description]],'3. Hardware Options'!$L$6:$L$50,0))="Show",1,0)</f>
        <v>1</v>
      </c>
      <c r="P117" s="1">
        <f>IF(i_ControlType=T_Controls[[#This Row],[Control Type]],1,0)</f>
        <v>0</v>
      </c>
      <c r="Q117" s="1" t="e" cm="1">
        <f t="array" ref="Q117">INDEX(W117:AT117,,MATCH(i_Tube,$W$116:$AT$116,0))</f>
        <v>#N/A</v>
      </c>
      <c r="R117" s="1">
        <f t="shared" ref="R117:R146" si="31">IF(i_Region="Global",1,IF(OR(i_Region=C117,C117="Global"),1,0))</f>
        <v>1</v>
      </c>
      <c r="S117" s="1" t="e" cm="1">
        <f t="array" ref="S117:S146">IF(T_Controls[Holding Capacity MAX]&gt;o_tMax_Sum,1,0)</f>
        <v>#N/A</v>
      </c>
      <c r="T117" s="630" t="e">
        <f>IF(AND(i_ControlType=T_Controls[[#This Row],[Control Type]],SheetStatus="Release - FFA"),1,SUMPRODUCT(P117,Q117,S117,O117,R117))</f>
        <v>#N/A</v>
      </c>
      <c r="U117" t="str" cm="1">
        <f t="array" ref="U117">IFERROR(IF(i_ControlType="","",IF(SUM($T$117:$T$146)=0,z_NoOptions,_xlfn._xlws.FILTER(T_Controls[Description],$T$117:$T$146))),"")</f>
        <v/>
      </c>
      <c r="W117" s="39"/>
      <c r="X117" s="39"/>
      <c r="Y117" s="39"/>
      <c r="Z117" s="39">
        <v>1</v>
      </c>
      <c r="AA117" s="39">
        <v>1</v>
      </c>
      <c r="AB117" s="39">
        <v>2</v>
      </c>
      <c r="AC117" s="39">
        <v>3</v>
      </c>
      <c r="AD117" s="39"/>
      <c r="AE117" s="39"/>
      <c r="AF117" s="39"/>
      <c r="AG117" s="39"/>
      <c r="AH117" s="39"/>
      <c r="AI117" s="39"/>
      <c r="AJ117" s="39"/>
      <c r="AK117" s="39"/>
      <c r="AL117" s="39"/>
      <c r="AM117" s="39"/>
      <c r="AN117" s="39"/>
      <c r="AO117" s="39"/>
      <c r="AP117" s="39"/>
      <c r="AQ117" s="39"/>
      <c r="AR117" s="39"/>
      <c r="AS117" s="39"/>
      <c r="AT117" s="39"/>
    </row>
    <row r="118" spans="3:46">
      <c r="C118" s="316" t="s">
        <v>266</v>
      </c>
      <c r="D118" s="206" t="s">
        <v>308</v>
      </c>
      <c r="E118" s="206" t="str">
        <f t="shared" si="29"/>
        <v>Clutch</v>
      </c>
      <c r="F118" s="14" t="s">
        <v>333</v>
      </c>
      <c r="G118" s="15">
        <v>81.28</v>
      </c>
      <c r="H118" s="75">
        <v>4.5</v>
      </c>
      <c r="I118" s="526">
        <f>G400_Capacity+$I$47</f>
        <v>7.02</v>
      </c>
      <c r="J118" s="15">
        <v>1.77</v>
      </c>
      <c r="K118" s="23">
        <v>0.23</v>
      </c>
      <c r="L118" s="229"/>
      <c r="M118" s="495" t="str">
        <f t="shared" si="30"/>
        <v>-</v>
      </c>
      <c r="N118" s="158">
        <v>228</v>
      </c>
      <c r="O118" s="178">
        <f>IF(INDEX('3. Hardware Options'!$O$6:$O$50,MATCH(T_Controls[[#This Row],[Description]],'3. Hardware Options'!$L$6:$L$50,0))="Show",1,0)</f>
        <v>1</v>
      </c>
      <c r="P118" s="1">
        <f>IF(i_ControlType=T_Controls[[#This Row],[Control Type]],1,0)</f>
        <v>0</v>
      </c>
      <c r="Q118" s="1" t="e" cm="1">
        <f t="array" ref="Q118">INDEX(W118:AT118,,MATCH(i_Tube,$W$116:$AT$116,0))</f>
        <v>#N/A</v>
      </c>
      <c r="R118" s="1">
        <f t="shared" si="31"/>
        <v>0</v>
      </c>
      <c r="S118" s="1" t="e">
        <v>#N/A</v>
      </c>
      <c r="T118" s="630" t="e">
        <f>IF(AND(i_ControlType=T_Controls[[#This Row],[Control Type]],SheetStatus="Release - FFA"),1,SUMPRODUCT(P118,Q118,S118,O118,R118))</f>
        <v>#N/A</v>
      </c>
      <c r="W118" s="15"/>
      <c r="X118" s="15"/>
      <c r="Y118" s="15"/>
      <c r="Z118" s="15">
        <v>1</v>
      </c>
      <c r="AA118" s="15">
        <v>1</v>
      </c>
      <c r="AB118" s="15">
        <v>2</v>
      </c>
      <c r="AC118" s="15">
        <v>3</v>
      </c>
      <c r="AD118" s="15">
        <v>3</v>
      </c>
      <c r="AE118" s="15"/>
      <c r="AF118" s="15"/>
      <c r="AG118" s="15"/>
      <c r="AH118" s="15"/>
      <c r="AI118" s="15"/>
      <c r="AJ118" s="15"/>
      <c r="AK118" s="15"/>
      <c r="AL118" s="15"/>
      <c r="AM118" s="15"/>
      <c r="AN118" s="15"/>
      <c r="AO118" s="15"/>
      <c r="AP118" s="15"/>
      <c r="AQ118" s="15"/>
      <c r="AR118" s="15"/>
      <c r="AS118" s="15"/>
      <c r="AT118" s="15"/>
    </row>
    <row r="119" spans="3:46">
      <c r="C119" s="317" t="s">
        <v>266</v>
      </c>
      <c r="D119" s="251" t="s">
        <v>307</v>
      </c>
      <c r="E119" s="206" t="str">
        <f t="shared" si="29"/>
        <v>Clutch</v>
      </c>
      <c r="F119" s="35" t="s">
        <v>149</v>
      </c>
      <c r="G119" s="36">
        <v>40.64</v>
      </c>
      <c r="H119" s="43">
        <v>0.5</v>
      </c>
      <c r="I119" s="43">
        <f>T_Controls[[#This Row],[Holding Capacity]]</f>
        <v>0.5</v>
      </c>
      <c r="J119" s="36">
        <v>1</v>
      </c>
      <c r="K119" s="139">
        <v>0.23</v>
      </c>
      <c r="L119" s="229"/>
      <c r="M119" s="495" t="str">
        <f t="shared" si="30"/>
        <v>-</v>
      </c>
      <c r="N119" s="158">
        <v>120</v>
      </c>
      <c r="O119" s="178">
        <f>IF(INDEX('3. Hardware Options'!$O$6:$O$50,MATCH(T_Controls[[#This Row],[Description]],'3. Hardware Options'!$L$6:$L$50,0))="Show",1,0)</f>
        <v>1</v>
      </c>
      <c r="P119" s="1">
        <f>IF(i_ControlType=T_Controls[[#This Row],[Control Type]],1,0)</f>
        <v>0</v>
      </c>
      <c r="Q119" s="1" t="e" cm="1">
        <f t="array" ref="Q119">INDEX(W119:AT119,,MATCH(i_Tube,$W$116:$AT$116,0))</f>
        <v>#N/A</v>
      </c>
      <c r="R119" s="1">
        <f t="shared" si="31"/>
        <v>0</v>
      </c>
      <c r="S119" s="1" t="e">
        <v>#N/A</v>
      </c>
      <c r="T119" s="630" t="e">
        <f>IF(AND(i_ControlType=T_Controls[[#This Row],[Control Type]],SheetStatus="Release - FFA"),1,SUMPRODUCT(P119,Q119,S119,O119,R119))</f>
        <v>#N/A</v>
      </c>
      <c r="W119" s="15">
        <v>1</v>
      </c>
      <c r="X119" s="15">
        <v>1</v>
      </c>
      <c r="Y119" s="15">
        <v>1</v>
      </c>
      <c r="Z119" s="15">
        <v>1</v>
      </c>
      <c r="AA119" s="15">
        <v>1</v>
      </c>
      <c r="AB119" s="15"/>
      <c r="AC119" s="15"/>
      <c r="AD119" s="15"/>
      <c r="AE119" s="15"/>
      <c r="AF119" s="15"/>
      <c r="AG119" s="15"/>
      <c r="AH119" s="15"/>
      <c r="AI119" s="15"/>
      <c r="AJ119" s="15"/>
      <c r="AK119" s="15"/>
      <c r="AL119" s="15"/>
      <c r="AM119" s="15"/>
      <c r="AN119" s="15"/>
      <c r="AO119" s="15"/>
      <c r="AP119" s="15"/>
      <c r="AQ119" s="15"/>
      <c r="AR119" s="15"/>
      <c r="AS119" s="15"/>
      <c r="AT119" s="15"/>
    </row>
    <row r="120" spans="3:46">
      <c r="C120" s="317" t="s">
        <v>266</v>
      </c>
      <c r="D120" s="251" t="s">
        <v>307</v>
      </c>
      <c r="E120" s="206" t="str">
        <f t="shared" si="29"/>
        <v>Clutch</v>
      </c>
      <c r="F120" s="35" t="s">
        <v>88</v>
      </c>
      <c r="G120" s="36">
        <v>58.42</v>
      </c>
      <c r="H120" s="43">
        <v>1.36</v>
      </c>
      <c r="I120" s="43">
        <f>T_Controls[[#This Row],[Holding Capacity]]</f>
        <v>1.36</v>
      </c>
      <c r="J120" s="36">
        <v>1</v>
      </c>
      <c r="K120" s="139">
        <v>0.23</v>
      </c>
      <c r="L120" s="229"/>
      <c r="M120" s="495" t="str">
        <f t="shared" si="30"/>
        <v>-</v>
      </c>
      <c r="N120" s="158">
        <v>178</v>
      </c>
      <c r="O120" s="178">
        <f>IF(INDEX('3. Hardware Options'!$O$6:$O$50,MATCH(T_Controls[[#This Row],[Description]],'3. Hardware Options'!$L$6:$L$50,0))="Show",1,0)</f>
        <v>1</v>
      </c>
      <c r="P120" s="1">
        <f>IF(i_ControlType=T_Controls[[#This Row],[Control Type]],1,0)</f>
        <v>0</v>
      </c>
      <c r="Q120" s="1" t="e" cm="1">
        <f t="array" ref="Q120">INDEX(W120:AT120,,MATCH(i_Tube,$W$116:$AT$116,0))</f>
        <v>#N/A</v>
      </c>
      <c r="R120" s="1">
        <f t="shared" si="31"/>
        <v>0</v>
      </c>
      <c r="S120" s="1" t="e">
        <v>#N/A</v>
      </c>
      <c r="T120" s="630" t="e">
        <f>IF(AND(i_ControlType=T_Controls[[#This Row],[Control Type]],SheetStatus="Release - FFA"),1,SUMPRODUCT(P120,Q120,S120,O120,R120))</f>
        <v>#N/A</v>
      </c>
      <c r="W120" s="15"/>
      <c r="X120" s="15"/>
      <c r="Y120" s="15"/>
      <c r="Z120" s="15">
        <v>1</v>
      </c>
      <c r="AA120" s="15">
        <v>1</v>
      </c>
      <c r="AB120" s="15">
        <v>2</v>
      </c>
      <c r="AC120" s="15">
        <v>3</v>
      </c>
      <c r="AD120" s="15"/>
      <c r="AE120" s="15"/>
      <c r="AF120" s="15"/>
      <c r="AG120" s="15"/>
      <c r="AH120" s="15"/>
      <c r="AI120" s="15"/>
      <c r="AJ120" s="15"/>
      <c r="AK120" s="15"/>
      <c r="AL120" s="15"/>
      <c r="AM120" s="15"/>
      <c r="AN120" s="15"/>
      <c r="AO120" s="15"/>
      <c r="AP120" s="15"/>
      <c r="AQ120" s="15"/>
      <c r="AR120" s="15"/>
      <c r="AS120" s="15"/>
      <c r="AT120" s="15"/>
    </row>
    <row r="121" spans="3:46">
      <c r="C121" s="317" t="s">
        <v>266</v>
      </c>
      <c r="D121" s="251" t="s">
        <v>307</v>
      </c>
      <c r="E121" s="206" t="str">
        <f t="shared" si="29"/>
        <v>Clutch</v>
      </c>
      <c r="F121" s="14" t="s">
        <v>123</v>
      </c>
      <c r="G121" s="15">
        <v>81.58</v>
      </c>
      <c r="H121" s="75">
        <v>2.04</v>
      </c>
      <c r="I121" s="526">
        <f>T_Controls[[#This Row],[Holding Capacity]]+$I$47</f>
        <v>4.5600000000000005</v>
      </c>
      <c r="J121" s="15">
        <v>1</v>
      </c>
      <c r="K121" s="23">
        <v>0.23</v>
      </c>
      <c r="L121" s="229"/>
      <c r="M121" s="495" t="str">
        <f t="shared" si="30"/>
        <v>-</v>
      </c>
      <c r="N121" s="158">
        <v>229</v>
      </c>
      <c r="O121" s="178">
        <f>IF(INDEX('3. Hardware Options'!$O$6:$O$50,MATCH(T_Controls[[#This Row],[Description]],'3. Hardware Options'!$L$6:$L$50,0))="Show",1,0)</f>
        <v>1</v>
      </c>
      <c r="P121" s="1">
        <f>IF(i_ControlType=T_Controls[[#This Row],[Control Type]],1,0)</f>
        <v>0</v>
      </c>
      <c r="Q121" s="1" t="e" cm="1">
        <f t="array" ref="Q121">INDEX(W121:AT121,,MATCH(i_Tube,$W$116:$AT$116,0))</f>
        <v>#N/A</v>
      </c>
      <c r="R121" s="1">
        <f t="shared" si="31"/>
        <v>0</v>
      </c>
      <c r="S121" s="1" t="e">
        <v>#N/A</v>
      </c>
      <c r="T121" s="630" t="e">
        <f>IF(AND(i_ControlType=T_Controls[[#This Row],[Control Type]],SheetStatus="Release - FFA"),1,SUMPRODUCT(P121,Q121,S121,O121,R121))</f>
        <v>#N/A</v>
      </c>
      <c r="W121" s="15"/>
      <c r="X121" s="15"/>
      <c r="Y121" s="15"/>
      <c r="Z121" s="15">
        <v>1</v>
      </c>
      <c r="AA121" s="15">
        <v>1</v>
      </c>
      <c r="AB121" s="15">
        <v>2</v>
      </c>
      <c r="AC121" s="15">
        <v>3</v>
      </c>
      <c r="AD121" s="15"/>
      <c r="AE121" s="15"/>
      <c r="AF121" s="15"/>
      <c r="AG121" s="15"/>
      <c r="AH121" s="15"/>
      <c r="AI121" s="15"/>
      <c r="AJ121" s="15"/>
      <c r="AK121" s="15"/>
      <c r="AL121" s="15"/>
      <c r="AM121" s="15"/>
      <c r="AN121" s="15"/>
      <c r="AO121" s="15"/>
      <c r="AP121" s="15"/>
      <c r="AQ121" s="15"/>
      <c r="AR121" s="15"/>
      <c r="AS121" s="15"/>
      <c r="AT121" s="15"/>
    </row>
    <row r="122" spans="3:46">
      <c r="C122" s="317" t="s">
        <v>265</v>
      </c>
      <c r="D122" s="251"/>
      <c r="E122" s="206" t="str">
        <f t="shared" si="29"/>
        <v>Clutch</v>
      </c>
      <c r="F122" s="14" t="s">
        <v>393</v>
      </c>
      <c r="G122" s="15">
        <v>37.9</v>
      </c>
      <c r="H122" s="75">
        <v>1</v>
      </c>
      <c r="I122" s="75">
        <f>T_Controls[[#This Row],[Holding Capacity]]</f>
        <v>1</v>
      </c>
      <c r="J122" s="15">
        <v>1</v>
      </c>
      <c r="K122" s="169">
        <v>0.2</v>
      </c>
      <c r="L122" s="229"/>
      <c r="M122" s="495" t="str">
        <f t="shared" si="30"/>
        <v>-</v>
      </c>
      <c r="N122" s="158">
        <v>50</v>
      </c>
      <c r="O122" s="178">
        <f>IF(INDEX('3. Hardware Options'!$O$6:$O$50,MATCH(T_Controls[[#This Row],[Description]],'3. Hardware Options'!$L$6:$L$50,0))="Show",1,0)</f>
        <v>1</v>
      </c>
      <c r="P122" s="1">
        <f>IF(i_ControlType=T_Controls[[#This Row],[Control Type]],1,0)</f>
        <v>0</v>
      </c>
      <c r="Q122" s="1" t="e" cm="1">
        <f t="array" ref="Q122">INDEX(W122:AT122,,MATCH(i_Tube,$W$116:$AT$116,0))</f>
        <v>#N/A</v>
      </c>
      <c r="R122" s="1">
        <f t="shared" si="31"/>
        <v>1</v>
      </c>
      <c r="S122" s="1" t="e">
        <v>#N/A</v>
      </c>
      <c r="T122" s="630" t="e">
        <f>IF(AND(i_ControlType=T_Controls[[#This Row],[Control Type]],SheetStatus="Release - FFA"),1,SUMPRODUCT(P122,Q122,S122,O122,R122))</f>
        <v>#N/A</v>
      </c>
      <c r="W122" s="15"/>
      <c r="X122" s="15"/>
      <c r="Y122" s="15"/>
      <c r="Z122" s="15"/>
      <c r="AA122" s="15"/>
      <c r="AB122" s="15"/>
      <c r="AC122" s="15"/>
      <c r="AD122" s="15"/>
      <c r="AE122" s="15">
        <v>1</v>
      </c>
      <c r="AF122" s="15">
        <v>1</v>
      </c>
      <c r="AG122" s="15">
        <v>1</v>
      </c>
      <c r="AH122" s="15">
        <v>1</v>
      </c>
      <c r="AI122" s="15"/>
      <c r="AJ122" s="15"/>
      <c r="AK122" s="15"/>
      <c r="AL122" s="15"/>
      <c r="AM122" s="15"/>
      <c r="AN122" s="15"/>
      <c r="AO122" s="15"/>
      <c r="AP122" s="15"/>
      <c r="AQ122" s="15"/>
      <c r="AR122" s="15"/>
      <c r="AS122" s="15"/>
      <c r="AT122" s="15"/>
    </row>
    <row r="123" spans="3:46">
      <c r="C123" s="317" t="s">
        <v>265</v>
      </c>
      <c r="D123" s="251"/>
      <c r="E123" s="206" t="str">
        <f t="shared" si="29"/>
        <v>Clutch</v>
      </c>
      <c r="F123" s="146" t="s">
        <v>1099</v>
      </c>
      <c r="G123" s="147">
        <v>45.6</v>
      </c>
      <c r="H123" s="148">
        <v>1</v>
      </c>
      <c r="I123" s="148">
        <f>T_Controls[[#This Row],[Holding Capacity]]+$I$60</f>
        <v>2.8277999999999999</v>
      </c>
      <c r="J123" s="39">
        <v>1</v>
      </c>
      <c r="K123" s="169">
        <v>0.2</v>
      </c>
      <c r="L123" s="229"/>
      <c r="M123" s="495" t="str">
        <f t="shared" si="30"/>
        <v>-</v>
      </c>
      <c r="N123" s="158">
        <v>136</v>
      </c>
      <c r="O123" s="178">
        <f>IF(INDEX('3. Hardware Options'!$O$6:$O$50,MATCH(T_Controls[[#This Row],[Description]],'3. Hardware Options'!$L$6:$L$50,0))="Show",1,0)</f>
        <v>1</v>
      </c>
      <c r="P123" s="1">
        <f>IF(i_ControlType=T_Controls[[#This Row],[Control Type]],1,0)</f>
        <v>0</v>
      </c>
      <c r="Q123" s="1" t="e" cm="1">
        <f t="array" ref="Q123">INDEX(W123:AT123,,MATCH(i_Tube,$W$116:$AT$116,0))</f>
        <v>#N/A</v>
      </c>
      <c r="R123" s="1">
        <f t="shared" si="31"/>
        <v>1</v>
      </c>
      <c r="S123" s="1" t="e">
        <v>#N/A</v>
      </c>
      <c r="T123" s="630" t="e">
        <f>IF(AND(i_ControlType=T_Controls[[#This Row],[Control Type]],SheetStatus="Release - FFA"),1,SUMPRODUCT(P123,Q123,S123,O123,R123))</f>
        <v>#N/A</v>
      </c>
      <c r="W123" s="36"/>
      <c r="X123" s="36"/>
      <c r="Y123" s="36"/>
      <c r="Z123" s="36"/>
      <c r="AA123" s="36"/>
      <c r="AB123" s="36"/>
      <c r="AC123" s="36"/>
      <c r="AD123" s="36"/>
      <c r="AE123" s="36"/>
      <c r="AF123" s="36"/>
      <c r="AG123" s="36"/>
      <c r="AH123" s="36"/>
      <c r="AI123" s="36">
        <v>1</v>
      </c>
      <c r="AJ123" s="36">
        <v>1</v>
      </c>
      <c r="AK123" s="36">
        <v>1</v>
      </c>
      <c r="AL123" s="36"/>
      <c r="AM123" s="36"/>
      <c r="AN123" s="36"/>
      <c r="AO123" s="36"/>
      <c r="AP123" s="36"/>
      <c r="AQ123" s="36"/>
      <c r="AR123" s="36"/>
      <c r="AS123" s="36"/>
      <c r="AT123" s="36"/>
    </row>
    <row r="124" spans="3:46" ht="15" customHeight="1">
      <c r="C124" s="316" t="s">
        <v>265</v>
      </c>
      <c r="D124" s="251"/>
      <c r="E124" s="672" t="str">
        <f t="shared" si="29"/>
        <v>Clutch</v>
      </c>
      <c r="F124" s="35" t="s">
        <v>550</v>
      </c>
      <c r="G124" s="36">
        <v>45.6</v>
      </c>
      <c r="H124" s="43">
        <v>1</v>
      </c>
      <c r="I124" s="527">
        <f>T_Controls[[#This Row],[Holding Capacity]]+$I$60</f>
        <v>2.8277999999999999</v>
      </c>
      <c r="J124" s="36">
        <v>1</v>
      </c>
      <c r="K124" s="279">
        <v>0.2</v>
      </c>
      <c r="L124" s="208"/>
      <c r="M124" s="495" t="str">
        <f t="shared" si="30"/>
        <v>-</v>
      </c>
      <c r="N124" s="158">
        <v>58</v>
      </c>
      <c r="O124" s="178">
        <f>IF(INDEX('3. Hardware Options'!$O$6:$O$50,MATCH(T_Controls[[#This Row],[Description]],'3. Hardware Options'!$L$6:$L$50,0))="Show",1,0)</f>
        <v>1</v>
      </c>
      <c r="P124" s="1">
        <f>IF(i_ControlType=T_Controls[[#This Row],[Control Type]],1,0)</f>
        <v>0</v>
      </c>
      <c r="Q124" s="1" t="e" cm="1">
        <f t="array" ref="Q124">INDEX(W124:AT124,,MATCH(i_Tube,$W$116:$AT$116,0))</f>
        <v>#N/A</v>
      </c>
      <c r="R124" s="1">
        <f t="shared" si="31"/>
        <v>1</v>
      </c>
      <c r="S124" s="1" t="e">
        <v>#N/A</v>
      </c>
      <c r="T124" s="630" t="e">
        <f>IF(AND(i_ControlType=T_Controls[[#This Row],[Control Type]],SheetStatus="Release - FFA"),1,SUMPRODUCT(P124,Q124,S124,O124,R124))</f>
        <v>#N/A</v>
      </c>
      <c r="W124" s="560"/>
      <c r="X124" s="560"/>
      <c r="Y124" s="560"/>
      <c r="Z124" s="560"/>
      <c r="AA124" s="560"/>
      <c r="AB124" s="560"/>
      <c r="AC124" s="560"/>
      <c r="AD124" s="560"/>
      <c r="AE124" s="560"/>
      <c r="AF124" s="560"/>
      <c r="AG124" s="560">
        <v>1</v>
      </c>
      <c r="AH124" s="560">
        <v>1</v>
      </c>
      <c r="AI124" s="560">
        <v>1</v>
      </c>
      <c r="AJ124" s="560">
        <v>1</v>
      </c>
      <c r="AK124" s="560">
        <v>1</v>
      </c>
      <c r="AL124" s="560"/>
      <c r="AM124" s="560"/>
      <c r="AN124" s="560"/>
      <c r="AO124" s="560"/>
      <c r="AP124" s="560"/>
      <c r="AQ124" s="560"/>
      <c r="AR124" s="560"/>
      <c r="AS124" s="560"/>
      <c r="AT124" s="560"/>
    </row>
    <row r="125" spans="3:46">
      <c r="C125" s="316" t="s">
        <v>420</v>
      </c>
      <c r="D125" s="251"/>
      <c r="E125" s="251" t="str">
        <f t="shared" si="29"/>
        <v>Clutch</v>
      </c>
      <c r="F125" s="146" t="s">
        <v>549</v>
      </c>
      <c r="G125" s="147">
        <v>46</v>
      </c>
      <c r="H125" s="148">
        <v>1</v>
      </c>
      <c r="I125" s="673">
        <f>T_Controls[[#This Row],[Holding Capacity]]+$I$60</f>
        <v>2.8277999999999999</v>
      </c>
      <c r="J125" s="147">
        <v>1</v>
      </c>
      <c r="K125" s="675">
        <v>0.2</v>
      </c>
      <c r="L125" s="229"/>
      <c r="M125" s="495" t="str">
        <f t="shared" si="30"/>
        <v>-</v>
      </c>
      <c r="N125" s="158">
        <v>59</v>
      </c>
      <c r="O125" s="178">
        <f>IF(INDEX('3. Hardware Options'!$O$6:$O$50,MATCH(T_Controls[[#This Row],[Description]],'3. Hardware Options'!$L$6:$L$50,0))="Show",1,0)</f>
        <v>1</v>
      </c>
      <c r="P125" s="1">
        <f>IF(i_ControlType=T_Controls[[#This Row],[Control Type]],1,0)</f>
        <v>0</v>
      </c>
      <c r="Q125" s="1" t="e" cm="1">
        <f t="array" ref="Q125">INDEX(W125:AT125,,MATCH(i_Tube,$W$116:$AT$116,0))</f>
        <v>#N/A</v>
      </c>
      <c r="R125" s="1">
        <f t="shared" si="31"/>
        <v>1</v>
      </c>
      <c r="S125" s="1" t="e">
        <v>#N/A</v>
      </c>
      <c r="T125" s="630" t="e">
        <f>IF(AND(i_ControlType=T_Controls[[#This Row],[Control Type]],SheetStatus="Release - FFA"),1,SUMPRODUCT(P125,Q125,S125,O125,R125))</f>
        <v>#N/A</v>
      </c>
      <c r="W125" s="560"/>
      <c r="X125" s="560"/>
      <c r="Y125" s="560"/>
      <c r="Z125" s="560"/>
      <c r="AA125" s="560"/>
      <c r="AB125" s="560"/>
      <c r="AC125" s="560"/>
      <c r="AD125" s="560"/>
      <c r="AE125" s="560"/>
      <c r="AF125" s="560"/>
      <c r="AG125" s="560"/>
      <c r="AH125" s="560"/>
      <c r="AI125" s="560">
        <v>1</v>
      </c>
      <c r="AJ125" s="560">
        <v>1</v>
      </c>
      <c r="AK125" s="560">
        <v>1</v>
      </c>
      <c r="AL125" s="560">
        <v>9</v>
      </c>
      <c r="AM125" s="560"/>
      <c r="AN125" s="560"/>
      <c r="AO125" s="560"/>
      <c r="AP125" s="560"/>
      <c r="AQ125" s="560"/>
      <c r="AR125" s="560"/>
      <c r="AS125" s="560"/>
      <c r="AT125" s="560"/>
    </row>
    <row r="126" spans="3:46">
      <c r="C126" s="316" t="s">
        <v>420</v>
      </c>
      <c r="D126" s="251"/>
      <c r="E126" s="247" t="str">
        <f t="shared" si="29"/>
        <v>Clutch</v>
      </c>
      <c r="F126" s="146" t="s">
        <v>1030</v>
      </c>
      <c r="G126" s="147">
        <v>46</v>
      </c>
      <c r="H126" s="148">
        <v>1</v>
      </c>
      <c r="I126" s="673">
        <f>T_Controls[[#This Row],[Holding Capacity]]+$I$60</f>
        <v>2.8277999999999999</v>
      </c>
      <c r="J126" s="39">
        <v>1</v>
      </c>
      <c r="K126" s="170">
        <v>0.2</v>
      </c>
      <c r="L126" s="229"/>
      <c r="M126" s="495" t="str">
        <f t="shared" si="30"/>
        <v>-</v>
      </c>
      <c r="N126" s="158">
        <v>135</v>
      </c>
      <c r="O126" s="178">
        <f>IF(INDEX('3. Hardware Options'!$O$6:$O$50,MATCH(T_Controls[[#This Row],[Description]],'3. Hardware Options'!$L$6:$L$50,0))="Show",1,0)</f>
        <v>1</v>
      </c>
      <c r="P126" s="1">
        <f>IF(i_ControlType=T_Controls[[#This Row],[Control Type]],1,0)</f>
        <v>0</v>
      </c>
      <c r="Q126" s="1" t="e" cm="1">
        <f t="array" ref="Q126">INDEX(W126:AT126,,MATCH(i_Tube,$W$116:$AT$116,0))</f>
        <v>#N/A</v>
      </c>
      <c r="R126" s="1">
        <f t="shared" si="31"/>
        <v>1</v>
      </c>
      <c r="S126" s="1" t="e">
        <v>#N/A</v>
      </c>
      <c r="T126" s="630" t="e">
        <f>IF(AND(i_ControlType=T_Controls[[#This Row],[Control Type]],SheetStatus="Release - FFA"),1,SUMPRODUCT(P126,Q126,S126,O126,R126))</f>
        <v>#N/A</v>
      </c>
      <c r="W126" s="560"/>
      <c r="X126" s="560"/>
      <c r="Y126" s="560"/>
      <c r="Z126" s="560"/>
      <c r="AA126" s="560"/>
      <c r="AB126" s="560"/>
      <c r="AC126" s="560"/>
      <c r="AD126" s="560"/>
      <c r="AE126" s="560"/>
      <c r="AF126" s="560"/>
      <c r="AG126" s="560"/>
      <c r="AH126" s="560"/>
      <c r="AI126" s="560">
        <v>1</v>
      </c>
      <c r="AJ126" s="560">
        <v>1</v>
      </c>
      <c r="AK126" s="560">
        <v>1</v>
      </c>
      <c r="AL126" s="560">
        <v>9</v>
      </c>
      <c r="AM126" s="560"/>
      <c r="AN126" s="560"/>
      <c r="AO126" s="560"/>
      <c r="AP126" s="560"/>
      <c r="AQ126" s="560"/>
      <c r="AR126" s="560"/>
      <c r="AS126" s="560"/>
      <c r="AT126" s="560"/>
    </row>
    <row r="127" spans="3:46">
      <c r="C127" s="316" t="s">
        <v>265</v>
      </c>
      <c r="D127" s="251"/>
      <c r="E127" s="206" t="str">
        <f t="shared" si="29"/>
        <v>Clutch</v>
      </c>
      <c r="F127" s="35" t="s">
        <v>1015</v>
      </c>
      <c r="G127" s="36">
        <v>46</v>
      </c>
      <c r="H127" s="43">
        <v>1.2</v>
      </c>
      <c r="I127" s="527">
        <f>T_Controls[[#This Row],[Holding Capacity]]+$I$60</f>
        <v>3.0278</v>
      </c>
      <c r="J127" s="15">
        <v>1.6</v>
      </c>
      <c r="K127" s="169">
        <v>0.2</v>
      </c>
      <c r="L127" s="229"/>
      <c r="M127" s="495" t="str">
        <f t="shared" si="30"/>
        <v>-</v>
      </c>
      <c r="N127" s="158">
        <v>59</v>
      </c>
      <c r="O127" s="178">
        <f>IF(INDEX('3. Hardware Options'!$O$6:$O$50,MATCH(T_Controls[[#This Row],[Description]],'3. Hardware Options'!$L$6:$L$50,0))="Show",1,0)</f>
        <v>1</v>
      </c>
      <c r="P127" s="1">
        <f>IF(i_ControlType=T_Controls[[#This Row],[Control Type]],1,0)</f>
        <v>0</v>
      </c>
      <c r="Q127" s="1" t="e" cm="1">
        <f t="array" ref="Q127">INDEX(W127:AT127,,MATCH(i_Tube,$W$116:$AT$116,0))</f>
        <v>#N/A</v>
      </c>
      <c r="R127" s="1">
        <f t="shared" si="31"/>
        <v>1</v>
      </c>
      <c r="S127" s="1" t="e">
        <v>#N/A</v>
      </c>
      <c r="T127" s="630" t="e">
        <f>IF(AND(i_ControlType=T_Controls[[#This Row],[Control Type]],SheetStatus="Release - FFA"),1,SUMPRODUCT(P127,Q127,S127,O127,R127))</f>
        <v>#N/A</v>
      </c>
      <c r="W127" s="560"/>
      <c r="X127" s="560"/>
      <c r="Y127" s="560"/>
      <c r="Z127" s="560"/>
      <c r="AA127" s="560"/>
      <c r="AB127" s="560"/>
      <c r="AC127" s="560"/>
      <c r="AD127" s="560"/>
      <c r="AE127" s="560"/>
      <c r="AF127" s="560"/>
      <c r="AG127" s="560"/>
      <c r="AH127" s="560"/>
      <c r="AI127" s="560">
        <v>1</v>
      </c>
      <c r="AJ127" s="560">
        <v>1</v>
      </c>
      <c r="AK127" s="560">
        <v>1</v>
      </c>
      <c r="AL127" s="560">
        <v>9</v>
      </c>
      <c r="AM127" s="560"/>
      <c r="AN127" s="560"/>
      <c r="AO127" s="560"/>
      <c r="AP127" s="560"/>
      <c r="AQ127" s="560"/>
      <c r="AR127" s="560"/>
      <c r="AS127" s="560"/>
      <c r="AT127" s="560"/>
    </row>
    <row r="128" spans="3:46">
      <c r="C128" s="316" t="s">
        <v>265</v>
      </c>
      <c r="D128" s="251"/>
      <c r="E128" s="206" t="str">
        <f t="shared" si="29"/>
        <v>Clutch</v>
      </c>
      <c r="F128" s="35" t="s">
        <v>1031</v>
      </c>
      <c r="G128" s="36">
        <v>46</v>
      </c>
      <c r="H128" s="43">
        <v>1.2</v>
      </c>
      <c r="I128" s="527">
        <f>T_Controls[[#This Row],[Holding Capacity]]+$I$60</f>
        <v>3.0278</v>
      </c>
      <c r="J128" s="15">
        <v>1.6</v>
      </c>
      <c r="K128" s="169">
        <v>0.2</v>
      </c>
      <c r="L128" s="229"/>
      <c r="M128" s="495" t="str">
        <f t="shared" si="30"/>
        <v>-</v>
      </c>
      <c r="N128" s="158">
        <v>135</v>
      </c>
      <c r="O128" s="178">
        <f>IF(INDEX('3. Hardware Options'!$O$6:$O$50,MATCH(T_Controls[[#This Row],[Description]],'3. Hardware Options'!$L$6:$L$50,0))="Show",1,0)</f>
        <v>1</v>
      </c>
      <c r="P128" s="1">
        <f>IF(i_ControlType=T_Controls[[#This Row],[Control Type]],1,0)</f>
        <v>0</v>
      </c>
      <c r="Q128" s="1" t="e" cm="1">
        <f t="array" ref="Q128">INDEX(W128:AT128,,MATCH(i_Tube,$W$116:$AT$116,0))</f>
        <v>#N/A</v>
      </c>
      <c r="R128" s="1">
        <f>IF(i_Region="Global",1,IF(OR(i_Region=C128,C128="Global"),1,0))</f>
        <v>1</v>
      </c>
      <c r="S128" s="1" t="e">
        <v>#N/A</v>
      </c>
      <c r="T128" s="630" t="e">
        <f>IF(AND(i_ControlType=T_Controls[[#This Row],[Control Type]],SheetStatus="Release - FFA"),1,SUMPRODUCT(P128,Q128,S128,O128,R128))</f>
        <v>#N/A</v>
      </c>
      <c r="W128" s="560"/>
      <c r="X128" s="560"/>
      <c r="Y128" s="560"/>
      <c r="Z128" s="560"/>
      <c r="AA128" s="560"/>
      <c r="AB128" s="560"/>
      <c r="AC128" s="560"/>
      <c r="AD128" s="560"/>
      <c r="AE128" s="560"/>
      <c r="AF128" s="560"/>
      <c r="AG128" s="560"/>
      <c r="AH128" s="560"/>
      <c r="AI128" s="560">
        <v>1</v>
      </c>
      <c r="AJ128" s="560">
        <v>1</v>
      </c>
      <c r="AK128" s="560">
        <v>1</v>
      </c>
      <c r="AL128" s="560">
        <v>9</v>
      </c>
      <c r="AM128" s="560"/>
      <c r="AN128" s="560"/>
      <c r="AO128" s="560"/>
      <c r="AP128" s="560"/>
      <c r="AQ128" s="560"/>
      <c r="AR128" s="560"/>
      <c r="AS128" s="560"/>
      <c r="AT128" s="560"/>
    </row>
    <row r="129" spans="3:46">
      <c r="C129" s="316" t="s">
        <v>265</v>
      </c>
      <c r="D129" s="251"/>
      <c r="E129" s="672" t="str">
        <f t="shared" si="29"/>
        <v>Clutch</v>
      </c>
      <c r="F129" s="35" t="s">
        <v>548</v>
      </c>
      <c r="G129" s="36">
        <v>46</v>
      </c>
      <c r="H129" s="43">
        <v>1</v>
      </c>
      <c r="I129" s="527">
        <f>T_Controls[[#This Row],[Holding Capacity]]+$I$63</f>
        <v>5.4702000000000002</v>
      </c>
      <c r="J129" s="36">
        <v>1</v>
      </c>
      <c r="K129" s="279">
        <v>0.2</v>
      </c>
      <c r="L129" s="229"/>
      <c r="M129" s="495" t="str">
        <f t="shared" si="30"/>
        <v>-</v>
      </c>
      <c r="N129" s="158">
        <v>121</v>
      </c>
      <c r="O129" s="178">
        <f>IF(INDEX('3. Hardware Options'!$O$6:$O$50,MATCH(T_Controls[[#This Row],[Description]],'3. Hardware Options'!$L$6:$L$50,0))="Show",1,0)</f>
        <v>1</v>
      </c>
      <c r="P129" s="1">
        <f>IF(i_ControlType=T_Controls[[#This Row],[Control Type]],1,0)</f>
        <v>0</v>
      </c>
      <c r="Q129" s="1" t="e" cm="1">
        <f t="array" ref="Q129">INDEX(W129:AT129,,MATCH(i_Tube,$W$116:$AT$116,0))</f>
        <v>#N/A</v>
      </c>
      <c r="R129" s="1">
        <f t="shared" si="31"/>
        <v>1</v>
      </c>
      <c r="S129" s="1" t="e">
        <v>#N/A</v>
      </c>
      <c r="T129" s="630" t="e">
        <f>IF(AND(i_ControlType=T_Controls[[#This Row],[Control Type]],SheetStatus="Release - FFA"),1,SUMPRODUCT(P129,Q129,S129,O129,R129))</f>
        <v>#N/A</v>
      </c>
      <c r="W129" s="560"/>
      <c r="X129" s="560"/>
      <c r="Y129" s="560"/>
      <c r="Z129" s="560"/>
      <c r="AA129" s="560"/>
      <c r="AB129" s="560"/>
      <c r="AC129" s="560"/>
      <c r="AD129" s="560"/>
      <c r="AE129" s="560"/>
      <c r="AF129" s="560"/>
      <c r="AG129" s="560"/>
      <c r="AH129" s="560"/>
      <c r="AI129" s="560"/>
      <c r="AJ129" s="560"/>
      <c r="AK129" s="560"/>
      <c r="AL129" s="560">
        <v>8</v>
      </c>
      <c r="AM129" s="560">
        <v>8</v>
      </c>
      <c r="AN129" s="560"/>
      <c r="AO129" s="560"/>
      <c r="AP129" s="560"/>
      <c r="AQ129" s="560"/>
      <c r="AR129" s="560"/>
      <c r="AS129" s="560"/>
      <c r="AT129" s="560"/>
    </row>
    <row r="130" spans="3:46">
      <c r="C130" s="316" t="s">
        <v>266</v>
      </c>
      <c r="D130" s="251"/>
      <c r="E130" s="674" t="s">
        <v>181</v>
      </c>
      <c r="F130" s="146" t="s">
        <v>1145</v>
      </c>
      <c r="G130" s="147">
        <v>46</v>
      </c>
      <c r="H130" s="148">
        <v>1</v>
      </c>
      <c r="I130" s="673">
        <f>T_Controls[[#This Row],[Holding Capacity]]+$I$60</f>
        <v>2.8277999999999999</v>
      </c>
      <c r="J130" s="39">
        <v>1</v>
      </c>
      <c r="K130" s="170">
        <v>0.2</v>
      </c>
      <c r="L130" s="229"/>
      <c r="M130" s="495" t="str">
        <f t="shared" si="30"/>
        <v>-</v>
      </c>
      <c r="N130" s="158">
        <v>135</v>
      </c>
      <c r="O130" s="178">
        <f>IF(INDEX('3. Hardware Options'!$O$6:$O$50,MATCH(T_Controls[[#This Row],[Description]],'3. Hardware Options'!$L$6:$L$50,0))="Show",1,0)</f>
        <v>1</v>
      </c>
      <c r="P130" s="1">
        <f>IF(i_ControlType=T_Controls[[#This Row],[Control Type]],1,0)</f>
        <v>0</v>
      </c>
      <c r="Q130" s="1" t="e" cm="1">
        <f t="array" ref="Q130">INDEX(W130:AT130,,MATCH(i_Tube,$W$116:$AT$116,0))</f>
        <v>#N/A</v>
      </c>
      <c r="R130" s="1">
        <f t="shared" ref="R130" si="32">IF(i_Region="Global",1,IF(OR(i_Region=C130,C130="Global"),1,0))</f>
        <v>0</v>
      </c>
      <c r="S130" s="1" t="e">
        <v>#N/A</v>
      </c>
      <c r="T130" s="630" t="e">
        <f>IF(AND(i_ControlType=T_Controls[[#This Row],[Control Type]],SheetStatus="Release - FFA"),1,SUMPRODUCT(P130,Q130,S130,O130,R130))</f>
        <v>#N/A</v>
      </c>
      <c r="W130" s="680"/>
      <c r="X130" s="680"/>
      <c r="Y130" s="680"/>
      <c r="Z130" s="680">
        <v>1</v>
      </c>
      <c r="AA130" s="680">
        <v>1</v>
      </c>
      <c r="AB130" s="680">
        <v>10</v>
      </c>
      <c r="AC130" s="680"/>
      <c r="AD130" s="680"/>
      <c r="AE130" s="680"/>
      <c r="AF130" s="680"/>
      <c r="AG130" s="680"/>
      <c r="AH130" s="680"/>
      <c r="AI130" s="680"/>
      <c r="AJ130" s="680"/>
      <c r="AK130" s="680"/>
      <c r="AL130" s="560">
        <v>11</v>
      </c>
      <c r="AM130" s="680"/>
      <c r="AN130" s="680"/>
      <c r="AO130" s="680"/>
      <c r="AP130" s="680"/>
      <c r="AQ130" s="680"/>
      <c r="AR130" s="680"/>
      <c r="AS130" s="680"/>
      <c r="AT130" s="680"/>
    </row>
    <row r="131" spans="3:46">
      <c r="C131" s="316" t="s">
        <v>266</v>
      </c>
      <c r="D131" s="247" t="s">
        <v>308</v>
      </c>
      <c r="E131" s="247" t="str">
        <f t="shared" si="29"/>
        <v>Clutch</v>
      </c>
      <c r="F131" s="146" t="s">
        <v>657</v>
      </c>
      <c r="G131" s="147">
        <v>39.369999999999997</v>
      </c>
      <c r="H131" s="148">
        <v>0.71</v>
      </c>
      <c r="I131" s="148">
        <f>T_Controls[[#This Row],[Holding Capacity]]</f>
        <v>0.71</v>
      </c>
      <c r="J131" s="39">
        <v>1</v>
      </c>
      <c r="K131" s="643">
        <v>0.23</v>
      </c>
      <c r="L131" s="229"/>
      <c r="M131" s="495" t="str">
        <f t="shared" si="30"/>
        <v>-</v>
      </c>
      <c r="N131" s="158">
        <v>118</v>
      </c>
      <c r="O131" s="178">
        <f>IF(INDEX('3. Hardware Options'!$O$6:$O$50,MATCH(T_Controls[[#This Row],[Description]],'3. Hardware Options'!$L$6:$L$50,0))="Show",1,0)</f>
        <v>1</v>
      </c>
      <c r="P131" s="1">
        <f>IF(i_ControlType=T_Controls[[#This Row],[Control Type]],1,0)</f>
        <v>0</v>
      </c>
      <c r="Q131" s="1" t="e" cm="1">
        <f t="array" ref="Q131">INDEX(W131:AT131,,MATCH(i_Tube,$W$116:$AT$116,0))</f>
        <v>#N/A</v>
      </c>
      <c r="R131" s="1">
        <f t="shared" si="31"/>
        <v>0</v>
      </c>
      <c r="S131" s="1" t="e">
        <v>#N/A</v>
      </c>
      <c r="T131" s="630" t="e">
        <f>IF(AND(i_ControlType=T_Controls[[#This Row],[Control Type]],SheetStatus="Release - FFA"),1,SUMPRODUCT(P131,Q131,S131,O131,R131))</f>
        <v>#N/A</v>
      </c>
      <c r="W131" s="560">
        <v>1</v>
      </c>
      <c r="X131" s="560">
        <v>1</v>
      </c>
      <c r="Y131" s="560">
        <v>4</v>
      </c>
      <c r="Z131" s="560">
        <v>7</v>
      </c>
      <c r="AA131" s="560">
        <v>7</v>
      </c>
      <c r="AB131" s="560"/>
      <c r="AC131" s="560"/>
      <c r="AD131" s="560"/>
      <c r="AE131" s="560"/>
      <c r="AF131" s="560"/>
      <c r="AG131" s="577">
        <v>5</v>
      </c>
      <c r="AH131" s="577">
        <v>5</v>
      </c>
      <c r="AI131" s="577">
        <v>6</v>
      </c>
      <c r="AJ131" s="577">
        <v>6</v>
      </c>
      <c r="AK131" s="577">
        <v>6</v>
      </c>
      <c r="AL131" s="560"/>
      <c r="AM131" s="560"/>
      <c r="AN131" s="560"/>
      <c r="AO131" s="560"/>
      <c r="AP131" s="560"/>
      <c r="AQ131" s="560"/>
      <c r="AR131" s="560"/>
      <c r="AS131" s="560"/>
      <c r="AT131" s="560"/>
    </row>
    <row r="132" spans="3:46">
      <c r="C132" s="316" t="s">
        <v>420</v>
      </c>
      <c r="D132" s="206" t="s">
        <v>308</v>
      </c>
      <c r="E132" s="206" t="str">
        <f t="shared" si="29"/>
        <v>Clutch</v>
      </c>
      <c r="F132" s="35" t="s">
        <v>658</v>
      </c>
      <c r="G132" s="36">
        <v>46.61</v>
      </c>
      <c r="H132" s="43">
        <v>1.06</v>
      </c>
      <c r="I132" s="43">
        <f>T_Controls[[#This Row],[Holding Capacity]]</f>
        <v>1.06</v>
      </c>
      <c r="J132" s="15">
        <v>1</v>
      </c>
      <c r="K132" s="23">
        <v>0.23</v>
      </c>
      <c r="L132" s="229"/>
      <c r="M132" s="495" t="str">
        <f t="shared" si="30"/>
        <v>-</v>
      </c>
      <c r="N132" s="158">
        <v>135</v>
      </c>
      <c r="O132" s="178">
        <f>IF(INDEX('3. Hardware Options'!$O$6:$O$50,MATCH(T_Controls[[#This Row],[Description]],'3. Hardware Options'!$L$6:$L$50,0))="Show",1,0)</f>
        <v>1</v>
      </c>
      <c r="P132" s="1">
        <f>IF(i_ControlType=T_Controls[[#This Row],[Control Type]],1,0)</f>
        <v>0</v>
      </c>
      <c r="Q132" s="1" t="e" cm="1">
        <f t="array" ref="Q132">INDEX(W132:AT132,,MATCH(i_Tube,$W$116:$AT$116,0))</f>
        <v>#N/A</v>
      </c>
      <c r="R132" s="1">
        <f t="shared" si="31"/>
        <v>1</v>
      </c>
      <c r="S132" s="1" t="e">
        <v>#N/A</v>
      </c>
      <c r="T132" s="630" t="e">
        <f>IF(AND(i_ControlType=T_Controls[[#This Row],[Control Type]],SheetStatus="Release - FFA"),1,SUMPRODUCT(P132,Q132,S132,O132,R132))</f>
        <v>#N/A</v>
      </c>
      <c r="W132" s="560"/>
      <c r="X132" s="560">
        <v>1</v>
      </c>
      <c r="Y132" s="560">
        <v>4</v>
      </c>
      <c r="Z132" s="560">
        <v>7</v>
      </c>
      <c r="AA132" s="560">
        <v>7</v>
      </c>
      <c r="AB132" s="560"/>
      <c r="AC132" s="560"/>
      <c r="AD132" s="560"/>
      <c r="AE132" s="560"/>
      <c r="AF132" s="560"/>
      <c r="AG132" s="577">
        <v>5</v>
      </c>
      <c r="AH132" s="577">
        <v>5</v>
      </c>
      <c r="AI132" s="577">
        <v>6</v>
      </c>
      <c r="AJ132" s="577">
        <v>6</v>
      </c>
      <c r="AK132" s="577">
        <v>6</v>
      </c>
      <c r="AL132" s="560"/>
      <c r="AM132" s="560"/>
      <c r="AN132" s="560"/>
      <c r="AO132" s="560"/>
      <c r="AP132" s="560"/>
      <c r="AQ132" s="560"/>
      <c r="AR132" s="560"/>
      <c r="AS132" s="560"/>
      <c r="AT132" s="560"/>
    </row>
    <row r="133" spans="3:46">
      <c r="C133" s="316" t="s">
        <v>420</v>
      </c>
      <c r="D133" s="206" t="s">
        <v>308</v>
      </c>
      <c r="E133" s="206" t="str">
        <f t="shared" si="29"/>
        <v>Clutch</v>
      </c>
      <c r="F133" s="35" t="s">
        <v>659</v>
      </c>
      <c r="G133" s="36">
        <v>57.15</v>
      </c>
      <c r="H133" s="43">
        <v>1.69</v>
      </c>
      <c r="I133" s="43">
        <f>T_Controls[[#This Row],[Holding Capacity]]</f>
        <v>1.69</v>
      </c>
      <c r="J133" s="15">
        <v>1</v>
      </c>
      <c r="K133" s="23">
        <v>0.23</v>
      </c>
      <c r="L133" s="229"/>
      <c r="M133" s="495" t="str">
        <f t="shared" si="30"/>
        <v>-</v>
      </c>
      <c r="N133" s="158">
        <v>169</v>
      </c>
      <c r="O133" s="178">
        <f>IF(INDEX('3. Hardware Options'!$O$6:$O$50,MATCH(T_Controls[[#This Row],[Description]],'3. Hardware Options'!$L$6:$L$50,0))="Show",1,0)</f>
        <v>1</v>
      </c>
      <c r="P133" s="1">
        <f>IF(i_ControlType=T_Controls[[#This Row],[Control Type]],1,0)</f>
        <v>0</v>
      </c>
      <c r="Q133" s="1" t="e" cm="1">
        <f t="array" ref="Q133">INDEX(W133:AT133,,MATCH(i_Tube,$W$116:$AT$116,0))</f>
        <v>#N/A</v>
      </c>
      <c r="R133" s="1">
        <f t="shared" si="31"/>
        <v>1</v>
      </c>
      <c r="S133" s="1" t="e">
        <v>#N/A</v>
      </c>
      <c r="T133" s="630" t="e">
        <f>IF(AND(i_ControlType=T_Controls[[#This Row],[Control Type]],SheetStatus="Release - FFA"),1,SUMPRODUCT(P133,Q133,S133,O133,R133))</f>
        <v>#N/A</v>
      </c>
      <c r="W133" s="560"/>
      <c r="X133" s="560"/>
      <c r="Y133" s="560"/>
      <c r="Z133" s="560">
        <v>1</v>
      </c>
      <c r="AA133" s="560">
        <v>1</v>
      </c>
      <c r="AB133" s="560">
        <v>2</v>
      </c>
      <c r="AC133" s="560">
        <v>3</v>
      </c>
      <c r="AD133" s="560"/>
      <c r="AE133" s="560"/>
      <c r="AF133" s="560"/>
      <c r="AG133" s="560"/>
      <c r="AH133" s="560"/>
      <c r="AI133" s="560"/>
      <c r="AJ133" s="560"/>
      <c r="AK133" s="560"/>
      <c r="AL133" s="560"/>
      <c r="AM133" s="560"/>
      <c r="AN133" s="560"/>
      <c r="AO133" s="560"/>
      <c r="AP133" s="560"/>
      <c r="AQ133" s="560"/>
      <c r="AR133" s="560"/>
      <c r="AS133" s="560"/>
      <c r="AT133" s="560"/>
    </row>
    <row r="134" spans="3:46">
      <c r="C134" s="316" t="s">
        <v>266</v>
      </c>
      <c r="D134" s="206" t="s">
        <v>308</v>
      </c>
      <c r="E134" s="206" t="str">
        <f t="shared" si="29"/>
        <v>Clutch</v>
      </c>
      <c r="F134" s="35" t="s">
        <v>660</v>
      </c>
      <c r="G134" s="36">
        <v>81.28</v>
      </c>
      <c r="H134" s="43">
        <v>2.54</v>
      </c>
      <c r="I134" s="43">
        <f>T_Controls[[#This Row],[Holding Capacity]]</f>
        <v>2.54</v>
      </c>
      <c r="J134" s="15">
        <v>1</v>
      </c>
      <c r="K134" s="23">
        <v>0.23</v>
      </c>
      <c r="L134" s="229"/>
      <c r="M134" s="495" t="str">
        <f t="shared" si="30"/>
        <v>-</v>
      </c>
      <c r="N134" s="158">
        <v>228</v>
      </c>
      <c r="O134" s="178">
        <f>IF(INDEX('3. Hardware Options'!$O$6:$O$50,MATCH(T_Controls[[#This Row],[Description]],'3. Hardware Options'!$L$6:$L$50,0))="Show",1,0)</f>
        <v>1</v>
      </c>
      <c r="P134" s="1">
        <f>IF(i_ControlType=T_Controls[[#This Row],[Control Type]],1,0)</f>
        <v>0</v>
      </c>
      <c r="Q134" s="1" t="e" cm="1">
        <f t="array" ref="Q134">INDEX(W134:AT134,,MATCH(i_Tube,$W$116:$AT$116,0))</f>
        <v>#N/A</v>
      </c>
      <c r="R134" s="1">
        <f t="shared" si="31"/>
        <v>0</v>
      </c>
      <c r="S134" s="1" t="e">
        <v>#N/A</v>
      </c>
      <c r="T134" s="630" t="e">
        <f>IF(AND(i_ControlType=T_Controls[[#This Row],[Control Type]],SheetStatus="Release - FFA"),1,SUMPRODUCT(P134,Q134,S134,O134,R134))</f>
        <v>#N/A</v>
      </c>
      <c r="W134" s="560"/>
      <c r="X134" s="560"/>
      <c r="Y134" s="560"/>
      <c r="Z134" s="560">
        <v>1</v>
      </c>
      <c r="AA134" s="560">
        <v>1</v>
      </c>
      <c r="AB134" s="560">
        <v>2</v>
      </c>
      <c r="AC134" s="560">
        <v>3</v>
      </c>
      <c r="AD134" s="560">
        <v>3</v>
      </c>
      <c r="AE134" s="560"/>
      <c r="AF134" s="560"/>
      <c r="AG134" s="560"/>
      <c r="AH134" s="560"/>
      <c r="AI134" s="560"/>
      <c r="AJ134" s="560"/>
      <c r="AK134" s="560"/>
      <c r="AL134" s="560"/>
      <c r="AM134" s="560"/>
      <c r="AN134" s="560"/>
      <c r="AO134" s="560"/>
      <c r="AP134" s="560"/>
      <c r="AQ134" s="560"/>
      <c r="AR134" s="560"/>
      <c r="AS134" s="560"/>
      <c r="AT134" s="560"/>
    </row>
    <row r="135" spans="3:46">
      <c r="C135" s="316" t="s">
        <v>266</v>
      </c>
      <c r="D135" s="251"/>
      <c r="E135" s="207" t="s">
        <v>972</v>
      </c>
      <c r="F135" s="35" t="s">
        <v>973</v>
      </c>
      <c r="G135" s="36"/>
      <c r="H135" s="527">
        <f>_SpringData_L0!$O$2</f>
        <v>1.5719062500000005</v>
      </c>
      <c r="I135" s="527">
        <f>_SpringData_L0!$O$2</f>
        <v>1.5719062500000005</v>
      </c>
      <c r="J135" s="36">
        <v>1</v>
      </c>
      <c r="K135" s="208"/>
      <c r="L135" s="208"/>
      <c r="M135" s="594" t="str">
        <f>IFERROR(IF($H135&lt;&gt;"",(($H135)/((Tube_OD/2/1000)))/g,""),"-")</f>
        <v>-</v>
      </c>
      <c r="N135" s="397"/>
      <c r="O135" s="178">
        <f>IF(INDEX('3. Hardware Options'!$O$6:$O$50,MATCH(T_Controls[[#This Row],[Description]],'3. Hardware Options'!$L$6:$L$50,0))="Show",1,0)</f>
        <v>1</v>
      </c>
      <c r="P135" s="1">
        <f>IF(i_ControlType=T_Controls[[#This Row],[Control Type]],1,0)</f>
        <v>0</v>
      </c>
      <c r="Q135" s="1" t="e" cm="1">
        <f t="array" ref="Q135">INDEX(W135:AT135,,MATCH(i_Tube,$W$116:$AT$116,0))</f>
        <v>#N/A</v>
      </c>
      <c r="R135" s="1">
        <f t="shared" si="31"/>
        <v>0</v>
      </c>
      <c r="S135" s="1" t="e">
        <v>#N/A</v>
      </c>
      <c r="T135" s="630" t="e">
        <f>IF(AND(i_ControlType=T_Controls[[#This Row],[Control Type]],SheetStatus="Release - FFA"),1,SUMPRODUCT(P135,Q135,S135,O135,R135))</f>
        <v>#N/A</v>
      </c>
      <c r="W135" s="560"/>
      <c r="X135" s="560"/>
      <c r="Y135" s="560"/>
      <c r="Z135" s="560">
        <v>1</v>
      </c>
      <c r="AA135" s="560">
        <v>1</v>
      </c>
      <c r="AB135" s="560"/>
      <c r="AC135" s="560"/>
      <c r="AD135" s="560"/>
      <c r="AE135" s="560"/>
      <c r="AF135" s="560"/>
      <c r="AG135" s="560"/>
      <c r="AH135" s="560"/>
      <c r="AI135" s="560"/>
      <c r="AJ135" s="560"/>
      <c r="AK135" s="560"/>
      <c r="AL135" s="560"/>
      <c r="AM135" s="560"/>
      <c r="AN135" s="560"/>
      <c r="AO135" s="560"/>
      <c r="AP135" s="560"/>
      <c r="AQ135" s="560"/>
      <c r="AR135" s="560"/>
      <c r="AS135" s="560"/>
      <c r="AT135" s="560"/>
    </row>
    <row r="136" spans="3:46">
      <c r="C136" s="316" t="s">
        <v>420</v>
      </c>
      <c r="D136" s="251"/>
      <c r="E136" s="207" t="s">
        <v>972</v>
      </c>
      <c r="F136" s="35" t="s">
        <v>1002</v>
      </c>
      <c r="G136" s="36"/>
      <c r="H136" s="527">
        <f>_SpringData_L0!$O$2</f>
        <v>1.5719062500000005</v>
      </c>
      <c r="I136" s="527">
        <f>_SpringData_L0!$O$2</f>
        <v>1.5719062500000005</v>
      </c>
      <c r="J136" s="36">
        <v>1</v>
      </c>
      <c r="K136" s="208"/>
      <c r="L136" s="208"/>
      <c r="M136" s="594" t="str">
        <f>IFERROR(IF($H136&lt;&gt;"",(($H136)/((Tube_OD/2/1000)))/g,""),"-")</f>
        <v>-</v>
      </c>
      <c r="N136" s="397"/>
      <c r="O136" s="178">
        <f>IF(INDEX('3. Hardware Options'!$O$6:$O$50,MATCH(T_Controls[[#This Row],[Description]],'3. Hardware Options'!$L$6:$L$50,0))="Show",1,0)</f>
        <v>1</v>
      </c>
      <c r="P136" s="1">
        <f>IF(i_ControlType=T_Controls[[#This Row],[Control Type]],1,0)</f>
        <v>0</v>
      </c>
      <c r="Q136" s="1" t="e" cm="1">
        <f t="array" ref="Q136">INDEX(W136:AT136,,MATCH(i_Tube,$W$116:$AT$116,0))</f>
        <v>#N/A</v>
      </c>
      <c r="R136" s="1">
        <f t="shared" si="31"/>
        <v>1</v>
      </c>
      <c r="S136" s="1" t="e">
        <v>#N/A</v>
      </c>
      <c r="T136" s="630" t="e">
        <f>IF(AND(i_ControlType=T_Controls[[#This Row],[Control Type]],SheetStatus="Release - FFA"),1,SUMPRODUCT(P136,Q136,S136,O136,R136))</f>
        <v>#N/A</v>
      </c>
      <c r="W136" s="560"/>
      <c r="X136" s="560"/>
      <c r="Y136" s="560"/>
      <c r="Z136" s="560"/>
      <c r="AA136" s="560"/>
      <c r="AB136" s="560"/>
      <c r="AC136" s="560"/>
      <c r="AD136" s="560"/>
      <c r="AE136" s="560"/>
      <c r="AF136" s="560"/>
      <c r="AG136" s="560"/>
      <c r="AH136" s="560"/>
      <c r="AI136" s="560">
        <v>1</v>
      </c>
      <c r="AJ136" s="560">
        <v>1</v>
      </c>
      <c r="AK136" s="560">
        <v>1</v>
      </c>
      <c r="AL136" s="560"/>
      <c r="AM136" s="560"/>
      <c r="AN136" s="560"/>
      <c r="AO136" s="560"/>
      <c r="AP136" s="560"/>
      <c r="AQ136" s="560"/>
      <c r="AR136" s="560"/>
      <c r="AS136" s="560"/>
      <c r="AT136" s="560"/>
    </row>
    <row r="137" spans="3:46">
      <c r="C137" s="316" t="s">
        <v>266</v>
      </c>
      <c r="D137" s="251"/>
      <c r="E137" s="207" t="s">
        <v>972</v>
      </c>
      <c r="F137" s="35" t="s">
        <v>995</v>
      </c>
      <c r="G137" s="36"/>
      <c r="H137" s="527">
        <f>_SpringData_L0!$O$2</f>
        <v>1.5719062500000005</v>
      </c>
      <c r="I137" s="527">
        <f>_SpringData_L0!$O$2</f>
        <v>1.5719062500000005</v>
      </c>
      <c r="J137" s="36">
        <v>1</v>
      </c>
      <c r="K137" s="208"/>
      <c r="L137" s="208"/>
      <c r="M137" s="594" t="str">
        <f>IFERROR(IF($H137&lt;&gt;"",(($H137)/((Tube_OD/2/1000)))/g,""),"-")</f>
        <v>-</v>
      </c>
      <c r="N137" s="397"/>
      <c r="O137" s="178">
        <f>IF(INDEX('3. Hardware Options'!$O$6:$O$50,MATCH(T_Controls[[#This Row],[Description]],'3. Hardware Options'!$L$6:$L$50,0))="Show",1,0)</f>
        <v>1</v>
      </c>
      <c r="P137" s="1">
        <f>IF(i_ControlType=T_Controls[[#This Row],[Control Type]],1,0)</f>
        <v>0</v>
      </c>
      <c r="Q137" s="1" t="e" cm="1">
        <f t="array" ref="Q137">INDEX(W137:AT137,,MATCH(i_Tube,$W$116:$AT$116,0))</f>
        <v>#N/A</v>
      </c>
      <c r="R137" s="1">
        <f t="shared" si="31"/>
        <v>0</v>
      </c>
      <c r="S137" s="1" t="e">
        <v>#N/A</v>
      </c>
      <c r="T137" s="630" t="e">
        <f>IF(AND(i_ControlType=T_Controls[[#This Row],[Control Type]],SheetStatus="Release - FFA"),1,SUMPRODUCT(P137,Q137,S137,O137,R137))</f>
        <v>#N/A</v>
      </c>
      <c r="W137" s="560"/>
      <c r="X137" s="560"/>
      <c r="Y137" s="560"/>
      <c r="Z137" s="560"/>
      <c r="AA137" s="560"/>
      <c r="AB137" s="560">
        <v>1</v>
      </c>
      <c r="AC137" s="560"/>
      <c r="AD137" s="560"/>
      <c r="AE137" s="560"/>
      <c r="AF137" s="560"/>
      <c r="AG137" s="560"/>
      <c r="AH137" s="560"/>
      <c r="AI137" s="560"/>
      <c r="AJ137" s="560"/>
      <c r="AK137" s="560"/>
      <c r="AL137" s="560"/>
      <c r="AM137" s="560"/>
      <c r="AN137" s="560"/>
      <c r="AO137" s="560"/>
      <c r="AP137" s="560"/>
      <c r="AQ137" s="560"/>
      <c r="AR137" s="560"/>
      <c r="AS137" s="560"/>
      <c r="AT137" s="560"/>
    </row>
    <row r="138" spans="3:46">
      <c r="C138" s="316" t="s">
        <v>420</v>
      </c>
      <c r="D138" s="207"/>
      <c r="E138" s="207" t="str">
        <f t="shared" ref="E138:E146" si="33">z_Motor</f>
        <v>Motor</v>
      </c>
      <c r="F138" s="35" t="s">
        <v>1083</v>
      </c>
      <c r="G138" s="36" t="e">
        <f t="shared" ref="G138:G146" si="34">Tube_OD</f>
        <v>#N/A</v>
      </c>
      <c r="H138" s="43">
        <v>0.7</v>
      </c>
      <c r="I138" s="43">
        <f>T_Controls[[#This Row],[Holding Capacity]]</f>
        <v>0.7</v>
      </c>
      <c r="J138" s="36">
        <v>1</v>
      </c>
      <c r="K138" s="208">
        <v>1.0000000000000001E-5</v>
      </c>
      <c r="L138" s="229">
        <v>20</v>
      </c>
      <c r="M138" s="495" t="str">
        <f t="shared" si="30"/>
        <v>-</v>
      </c>
      <c r="N138" s="158"/>
      <c r="O138" s="178">
        <f>IF(INDEX('3. Hardware Options'!$O$6:$O$50,MATCH(T_Controls[[#This Row],[Description]],'3. Hardware Options'!$L$6:$L$50,0))="Show",1,0)</f>
        <v>1</v>
      </c>
      <c r="P138" s="1">
        <f>IF(i_ControlType=T_Controls[[#This Row],[Control Type]],1,0)</f>
        <v>0</v>
      </c>
      <c r="Q138" s="1" t="e" cm="1">
        <f t="array" ref="Q138">INDEX(W138:AT138,,MATCH(i_Tube,$W$116:$AT$116,0))</f>
        <v>#N/A</v>
      </c>
      <c r="R138" s="1">
        <f t="shared" si="31"/>
        <v>1</v>
      </c>
      <c r="S138" s="1" t="e">
        <v>#N/A</v>
      </c>
      <c r="T138" s="630" t="e">
        <f>IF(AND(i_ControlType=T_Controls[[#This Row],[Control Type]],SheetStatus="Release - FFA"),1,SUMPRODUCT(P138,Q138,S138,O138,R138))</f>
        <v>#N/A</v>
      </c>
      <c r="W138" s="560">
        <v>1</v>
      </c>
      <c r="X138" s="560">
        <v>1</v>
      </c>
      <c r="Y138" s="560">
        <v>1</v>
      </c>
      <c r="Z138" s="560">
        <v>1</v>
      </c>
      <c r="AA138" s="560">
        <v>1</v>
      </c>
      <c r="AB138" s="560"/>
      <c r="AC138" s="560"/>
      <c r="AD138" s="560"/>
      <c r="AE138" s="560">
        <v>1</v>
      </c>
      <c r="AF138" s="560">
        <v>1</v>
      </c>
      <c r="AG138" s="560">
        <v>1</v>
      </c>
      <c r="AH138" s="560"/>
      <c r="AI138" s="560">
        <v>1</v>
      </c>
      <c r="AJ138" s="560">
        <v>1</v>
      </c>
      <c r="AK138" s="560">
        <v>1</v>
      </c>
      <c r="AL138" s="560"/>
      <c r="AM138" s="560"/>
      <c r="AN138" s="560"/>
      <c r="AO138" s="560"/>
      <c r="AP138" s="560"/>
      <c r="AQ138" s="560"/>
      <c r="AR138" s="560"/>
      <c r="AS138" s="560"/>
      <c r="AT138" s="560"/>
    </row>
    <row r="139" spans="3:46">
      <c r="C139" s="316" t="s">
        <v>420</v>
      </c>
      <c r="D139" s="207"/>
      <c r="E139" s="207" t="str">
        <f t="shared" si="33"/>
        <v>Motor</v>
      </c>
      <c r="F139" s="35" t="s">
        <v>556</v>
      </c>
      <c r="G139" s="36" t="e">
        <f t="shared" si="34"/>
        <v>#N/A</v>
      </c>
      <c r="H139" s="43">
        <v>1.1000000000000001</v>
      </c>
      <c r="I139" s="43">
        <f>T_Controls[[#This Row],[Holding Capacity]]</f>
        <v>1.1000000000000001</v>
      </c>
      <c r="J139" s="36">
        <v>1</v>
      </c>
      <c r="K139" s="208">
        <v>1.0000000000000001E-5</v>
      </c>
      <c r="L139" s="229">
        <v>20</v>
      </c>
      <c r="M139" s="495" t="str">
        <f t="shared" si="30"/>
        <v>-</v>
      </c>
      <c r="N139" s="158"/>
      <c r="O139" s="178">
        <f>IF(INDEX('3. Hardware Options'!$O$6:$O$50,MATCH(T_Controls[[#This Row],[Description]],'3. Hardware Options'!$L$6:$L$50,0))="Show",1,0)</f>
        <v>1</v>
      </c>
      <c r="P139" s="1">
        <f>IF(i_ControlType=T_Controls[[#This Row],[Control Type]],1,0)</f>
        <v>0</v>
      </c>
      <c r="Q139" s="1" t="e" cm="1">
        <f t="array" ref="Q139">INDEX(W139:AT139,,MATCH(i_Tube,$W$116:$AT$116,0))</f>
        <v>#N/A</v>
      </c>
      <c r="R139" s="1">
        <f t="shared" si="31"/>
        <v>1</v>
      </c>
      <c r="S139" s="1" t="e">
        <v>#N/A</v>
      </c>
      <c r="T139" s="630" t="e">
        <f>IF(AND(i_ControlType=T_Controls[[#This Row],[Control Type]],SheetStatus="Release - FFA"),1,SUMPRODUCT(P139,Q139,S139,O139,R139))</f>
        <v>#N/A</v>
      </c>
      <c r="W139" s="560"/>
      <c r="X139" s="560"/>
      <c r="Y139" s="560">
        <v>1</v>
      </c>
      <c r="Z139" s="560">
        <v>1</v>
      </c>
      <c r="AA139" s="560">
        <v>1</v>
      </c>
      <c r="AB139" s="560"/>
      <c r="AC139" s="560"/>
      <c r="AD139" s="560"/>
      <c r="AE139" s="560">
        <v>1</v>
      </c>
      <c r="AF139" s="560">
        <v>1</v>
      </c>
      <c r="AG139" s="560">
        <v>1</v>
      </c>
      <c r="AH139" s="560"/>
      <c r="AI139" s="560">
        <v>1</v>
      </c>
      <c r="AJ139" s="560">
        <v>1</v>
      </c>
      <c r="AK139" s="560">
        <v>1</v>
      </c>
      <c r="AL139" s="560"/>
      <c r="AM139" s="560"/>
      <c r="AN139" s="560"/>
      <c r="AO139" s="560"/>
      <c r="AP139" s="560"/>
      <c r="AQ139" s="560"/>
      <c r="AR139" s="560"/>
      <c r="AS139" s="560"/>
      <c r="AT139" s="560"/>
    </row>
    <row r="140" spans="3:46">
      <c r="C140" s="316" t="s">
        <v>420</v>
      </c>
      <c r="D140" s="207"/>
      <c r="E140" s="207" t="str">
        <f t="shared" si="33"/>
        <v>Motor</v>
      </c>
      <c r="F140" s="35" t="s">
        <v>557</v>
      </c>
      <c r="G140" s="36" t="e">
        <f t="shared" si="34"/>
        <v>#N/A</v>
      </c>
      <c r="H140" s="43">
        <v>2</v>
      </c>
      <c r="I140" s="43">
        <f>T_Controls[[#This Row],[Holding Capacity]]</f>
        <v>2</v>
      </c>
      <c r="J140" s="36">
        <v>1</v>
      </c>
      <c r="K140" s="208">
        <v>1.0000000000000001E-5</v>
      </c>
      <c r="L140" s="229">
        <v>20</v>
      </c>
      <c r="M140" s="495" t="str">
        <f t="shared" si="30"/>
        <v>-</v>
      </c>
      <c r="N140" s="158"/>
      <c r="O140" s="178">
        <f>IF(INDEX('3. Hardware Options'!$O$6:$O$50,MATCH(T_Controls[[#This Row],[Description]],'3. Hardware Options'!$L$6:$L$50,0))="Show",1,0)</f>
        <v>1</v>
      </c>
      <c r="P140" s="1">
        <f>IF(i_ControlType=T_Controls[[#This Row],[Control Type]],1,0)</f>
        <v>0</v>
      </c>
      <c r="Q140" s="1" t="e" cm="1">
        <f t="array" ref="Q140">INDEX(W140:AT140,,MATCH(i_Tube,$W$116:$AT$116,0))</f>
        <v>#N/A</v>
      </c>
      <c r="R140" s="1">
        <f t="shared" si="31"/>
        <v>1</v>
      </c>
      <c r="S140" s="1" t="e">
        <v>#N/A</v>
      </c>
      <c r="T140" s="630" t="e">
        <f>IF(AND(i_ControlType=T_Controls[[#This Row],[Control Type]],SheetStatus="Release - FFA"),1,SUMPRODUCT(P140,Q140,S140,O140,R140))</f>
        <v>#N/A</v>
      </c>
      <c r="W140" s="560"/>
      <c r="X140" s="560"/>
      <c r="Y140" s="560"/>
      <c r="Z140" s="560">
        <v>1</v>
      </c>
      <c r="AA140" s="560">
        <v>1</v>
      </c>
      <c r="AB140" s="560">
        <v>1</v>
      </c>
      <c r="AC140" s="560"/>
      <c r="AD140" s="560"/>
      <c r="AE140" s="560"/>
      <c r="AF140" s="560"/>
      <c r="AG140" s="560"/>
      <c r="AH140" s="560"/>
      <c r="AI140" s="560">
        <v>1</v>
      </c>
      <c r="AJ140" s="560">
        <v>1</v>
      </c>
      <c r="AK140" s="560">
        <v>1</v>
      </c>
      <c r="AL140" s="560"/>
      <c r="AM140" s="560"/>
      <c r="AN140" s="560"/>
      <c r="AO140" s="560"/>
      <c r="AP140" s="560"/>
      <c r="AQ140" s="560"/>
      <c r="AR140" s="560"/>
      <c r="AS140" s="560"/>
      <c r="AT140" s="560"/>
    </row>
    <row r="141" spans="3:46">
      <c r="C141" s="316" t="s">
        <v>420</v>
      </c>
      <c r="D141" s="207"/>
      <c r="E141" s="207" t="str">
        <f t="shared" si="33"/>
        <v>Motor</v>
      </c>
      <c r="F141" s="35" t="s">
        <v>664</v>
      </c>
      <c r="G141" s="36" t="e">
        <f t="shared" si="34"/>
        <v>#N/A</v>
      </c>
      <c r="H141" s="43">
        <v>3</v>
      </c>
      <c r="I141" s="43">
        <f>T_Controls[[#This Row],[Holding Capacity]]</f>
        <v>3</v>
      </c>
      <c r="J141" s="36">
        <v>1</v>
      </c>
      <c r="K141" s="208">
        <v>1.0000000000000001E-5</v>
      </c>
      <c r="L141" s="229">
        <v>28</v>
      </c>
      <c r="M141" s="495" t="str">
        <f t="shared" si="30"/>
        <v>-</v>
      </c>
      <c r="N141" s="158"/>
      <c r="O141" s="178">
        <f>IF(INDEX('3. Hardware Options'!$O$6:$O$50,MATCH(T_Controls[[#This Row],[Description]],'3. Hardware Options'!$L$6:$L$50,0))="Show",1,0)</f>
        <v>1</v>
      </c>
      <c r="P141" s="1">
        <f>IF(i_ControlType=T_Controls[[#This Row],[Control Type]],1,0)</f>
        <v>0</v>
      </c>
      <c r="Q141" s="1" t="e" cm="1">
        <f t="array" ref="Q141">INDEX(W141:AT141,,MATCH(i_Tube,$W$116:$AT$116,0))</f>
        <v>#N/A</v>
      </c>
      <c r="R141" s="1">
        <f t="shared" si="31"/>
        <v>1</v>
      </c>
      <c r="S141" s="1" t="e">
        <v>#N/A</v>
      </c>
      <c r="T141" s="630" t="e">
        <f>IF(AND(i_ControlType=T_Controls[[#This Row],[Control Type]],SheetStatus="Release - FFA"),1,SUMPRODUCT(P141,Q141,S141,O141,R141))</f>
        <v>#N/A</v>
      </c>
      <c r="W141" s="560"/>
      <c r="X141" s="560"/>
      <c r="Y141" s="560"/>
      <c r="Z141" s="560"/>
      <c r="AA141" s="560"/>
      <c r="AB141" s="560">
        <v>1</v>
      </c>
      <c r="AC141" s="560">
        <v>1</v>
      </c>
      <c r="AD141" s="560"/>
      <c r="AE141" s="560"/>
      <c r="AF141" s="560"/>
      <c r="AG141" s="560"/>
      <c r="AH141" s="560"/>
      <c r="AI141" s="560">
        <v>1</v>
      </c>
      <c r="AJ141" s="560">
        <v>1</v>
      </c>
      <c r="AK141" s="560">
        <v>1</v>
      </c>
      <c r="AL141" s="560">
        <v>1</v>
      </c>
      <c r="AM141" s="560">
        <v>1</v>
      </c>
      <c r="AN141" s="560"/>
      <c r="AO141" s="560"/>
      <c r="AP141" s="560"/>
      <c r="AQ141" s="560"/>
      <c r="AR141" s="560"/>
      <c r="AS141" s="560"/>
      <c r="AT141" s="560"/>
    </row>
    <row r="142" spans="3:46">
      <c r="C142" s="316" t="s">
        <v>420</v>
      </c>
      <c r="D142" s="207"/>
      <c r="E142" s="207" t="str">
        <f t="shared" si="33"/>
        <v>Motor</v>
      </c>
      <c r="F142" s="35" t="s">
        <v>1098</v>
      </c>
      <c r="G142" s="36" t="e">
        <f t="shared" si="34"/>
        <v>#N/A</v>
      </c>
      <c r="H142" s="43">
        <v>6</v>
      </c>
      <c r="I142" s="43">
        <f>T_Controls[[#This Row],[Holding Capacity]]</f>
        <v>6</v>
      </c>
      <c r="J142" s="36">
        <v>1</v>
      </c>
      <c r="K142" s="208">
        <v>1.0000000000000001E-5</v>
      </c>
      <c r="L142" s="229">
        <v>28</v>
      </c>
      <c r="M142" s="495" t="str">
        <f t="shared" si="30"/>
        <v>-</v>
      </c>
      <c r="N142" s="158"/>
      <c r="O142" s="178">
        <f>IF(INDEX('3. Hardware Options'!$O$6:$O$50,MATCH(T_Controls[[#This Row],[Description]],'3. Hardware Options'!$L$6:$L$50,0))="Show",1,0)</f>
        <v>1</v>
      </c>
      <c r="P142" s="1">
        <f>IF(i_ControlType=T_Controls[[#This Row],[Control Type]],1,0)</f>
        <v>0</v>
      </c>
      <c r="Q142" s="1" t="e" cm="1">
        <f t="array" ref="Q142">INDEX(W142:AT142,,MATCH(i_Tube,$W$116:$AT$116,0))</f>
        <v>#N/A</v>
      </c>
      <c r="R142" s="1">
        <f t="shared" si="31"/>
        <v>1</v>
      </c>
      <c r="S142" s="1" t="e">
        <v>#N/A</v>
      </c>
      <c r="T142" s="630" t="e">
        <f>IF(AND(i_ControlType=T_Controls[[#This Row],[Control Type]],SheetStatus="Release - FFA"),1,SUMPRODUCT(P142,Q142,S142,O142,R142))</f>
        <v>#N/A</v>
      </c>
      <c r="W142" s="560"/>
      <c r="X142" s="560"/>
      <c r="Y142" s="560"/>
      <c r="Z142" s="560"/>
      <c r="AA142" s="560"/>
      <c r="AB142" s="560">
        <v>1</v>
      </c>
      <c r="AC142" s="560">
        <v>1</v>
      </c>
      <c r="AD142" s="560"/>
      <c r="AE142" s="560"/>
      <c r="AF142" s="560"/>
      <c r="AG142" s="560"/>
      <c r="AH142" s="560"/>
      <c r="AI142" s="560">
        <v>1</v>
      </c>
      <c r="AJ142" s="560">
        <v>1</v>
      </c>
      <c r="AK142" s="560">
        <v>1</v>
      </c>
      <c r="AL142" s="560">
        <v>1</v>
      </c>
      <c r="AM142" s="560">
        <v>1</v>
      </c>
      <c r="AN142" s="560"/>
      <c r="AO142" s="560"/>
      <c r="AP142" s="560"/>
      <c r="AQ142" s="560"/>
      <c r="AR142" s="560"/>
      <c r="AS142" s="560"/>
      <c r="AT142" s="560"/>
    </row>
    <row r="143" spans="3:46">
      <c r="C143" s="316" t="s">
        <v>420</v>
      </c>
      <c r="D143" s="207"/>
      <c r="E143" s="207" t="str">
        <f t="shared" si="33"/>
        <v>Motor</v>
      </c>
      <c r="F143" s="35" t="s">
        <v>558</v>
      </c>
      <c r="G143" s="36" t="e">
        <f t="shared" si="34"/>
        <v>#N/A</v>
      </c>
      <c r="H143" s="43">
        <v>10</v>
      </c>
      <c r="I143" s="43">
        <f>T_Controls[[#This Row],[Holding Capacity]]</f>
        <v>10</v>
      </c>
      <c r="J143" s="36">
        <v>1</v>
      </c>
      <c r="K143" s="208">
        <v>0</v>
      </c>
      <c r="L143" s="229">
        <v>9</v>
      </c>
      <c r="M143" s="495" t="str">
        <f t="shared" si="30"/>
        <v>-</v>
      </c>
      <c r="N143" s="158"/>
      <c r="O143" s="178">
        <f>IF(INDEX('3. Hardware Options'!$O$6:$O$50,MATCH(T_Controls[[#This Row],[Description]],'3. Hardware Options'!$L$6:$L$50,0))="Show",1,0)</f>
        <v>1</v>
      </c>
      <c r="P143" s="1">
        <f>IF(i_ControlType=T_Controls[[#This Row],[Control Type]],1,0)</f>
        <v>0</v>
      </c>
      <c r="Q143" s="1" t="e" cm="1">
        <f t="array" ref="Q143">INDEX(W143:AT143,,MATCH(i_Tube,$W$116:$AT$116,0))</f>
        <v>#N/A</v>
      </c>
      <c r="R143" s="1">
        <f t="shared" si="31"/>
        <v>1</v>
      </c>
      <c r="S143" s="1" t="e">
        <v>#N/A</v>
      </c>
      <c r="T143" s="630" t="e">
        <f>IF(AND(i_ControlType=T_Controls[[#This Row],[Control Type]],SheetStatus="Release - FFA"),1,SUMPRODUCT(P143,Q143,S143,O143,R143))</f>
        <v>#N/A</v>
      </c>
      <c r="W143" s="560"/>
      <c r="X143" s="560"/>
      <c r="Y143" s="560"/>
      <c r="Z143" s="560"/>
      <c r="AA143" s="560"/>
      <c r="AB143" s="560"/>
      <c r="AC143" s="560">
        <v>1</v>
      </c>
      <c r="AD143" s="560">
        <v>1</v>
      </c>
      <c r="AE143" s="560"/>
      <c r="AF143" s="560"/>
      <c r="AG143" s="560"/>
      <c r="AH143" s="560"/>
      <c r="AI143" s="560"/>
      <c r="AJ143" s="560"/>
      <c r="AK143" s="560"/>
      <c r="AL143" s="560">
        <v>1</v>
      </c>
      <c r="AM143" s="560">
        <v>1</v>
      </c>
      <c r="AN143" s="676" t="str">
        <f>IFERROR(IF(FIND("S60",i_bracket)&gt;0,0,1),"")</f>
        <v/>
      </c>
      <c r="AO143" s="560">
        <v>1</v>
      </c>
      <c r="AP143" s="560">
        <v>1</v>
      </c>
      <c r="AQ143" s="560">
        <v>1</v>
      </c>
      <c r="AR143" s="560"/>
      <c r="AS143" s="560"/>
      <c r="AT143" s="560"/>
    </row>
    <row r="144" spans="3:46">
      <c r="C144" s="317" t="s">
        <v>420</v>
      </c>
      <c r="D144" s="207"/>
      <c r="E144" s="207" t="str">
        <f t="shared" si="33"/>
        <v>Motor</v>
      </c>
      <c r="F144" s="35" t="s">
        <v>559</v>
      </c>
      <c r="G144" s="36" t="e">
        <f t="shared" si="34"/>
        <v>#N/A</v>
      </c>
      <c r="H144" s="43">
        <v>15</v>
      </c>
      <c r="I144" s="43">
        <f>T_Controls[[#This Row],[Holding Capacity]]</f>
        <v>15</v>
      </c>
      <c r="J144" s="36">
        <v>1</v>
      </c>
      <c r="K144" s="208">
        <v>1.0000000000000001E-5</v>
      </c>
      <c r="L144" s="229">
        <v>15</v>
      </c>
      <c r="M144" s="495" t="str">
        <f t="shared" si="30"/>
        <v>-</v>
      </c>
      <c r="N144" s="158"/>
      <c r="O144" s="178">
        <f>IF(INDEX('3. Hardware Options'!$O$6:$O$50,MATCH(T_Controls[[#This Row],[Description]],'3. Hardware Options'!$L$6:$L$50,0))="Show",1,0)</f>
        <v>1</v>
      </c>
      <c r="P144" s="1">
        <f>IF(i_ControlType=T_Controls[[#This Row],[Control Type]],1,0)</f>
        <v>0</v>
      </c>
      <c r="Q144" s="1" t="e" cm="1">
        <f t="array" ref="Q144">INDEX(W144:AT144,,MATCH(i_Tube,$W$116:$AT$116,0))</f>
        <v>#N/A</v>
      </c>
      <c r="R144" s="1">
        <f t="shared" si="31"/>
        <v>1</v>
      </c>
      <c r="S144" s="1" t="e">
        <v>#N/A</v>
      </c>
      <c r="T144" s="630" t="e">
        <f>IF(AND(i_ControlType=T_Controls[[#This Row],[Control Type]],SheetStatus="Release - FFA"),1,SUMPRODUCT(P144,Q144,S144,O144,R144))</f>
        <v>#N/A</v>
      </c>
      <c r="W144" s="560"/>
      <c r="X144" s="560"/>
      <c r="Y144" s="560"/>
      <c r="Z144" s="560"/>
      <c r="AA144" s="560"/>
      <c r="AB144" s="560"/>
      <c r="AC144" s="560">
        <v>1</v>
      </c>
      <c r="AD144" s="560">
        <v>1</v>
      </c>
      <c r="AE144" s="560"/>
      <c r="AF144" s="560"/>
      <c r="AG144" s="560"/>
      <c r="AH144" s="560"/>
      <c r="AI144" s="560"/>
      <c r="AJ144" s="560"/>
      <c r="AK144" s="560"/>
      <c r="AL144" s="560">
        <v>1</v>
      </c>
      <c r="AM144" s="560">
        <v>1</v>
      </c>
      <c r="AN144" s="676">
        <f>IFERROR(IF(FIND("S60",i_bracket)&gt;0,0,1),1)</f>
        <v>1</v>
      </c>
      <c r="AO144" s="560">
        <v>1</v>
      </c>
      <c r="AP144" s="560">
        <v>1</v>
      </c>
      <c r="AQ144" s="560">
        <v>1</v>
      </c>
      <c r="AR144" s="560"/>
      <c r="AS144" s="560"/>
      <c r="AT144" s="560"/>
    </row>
    <row r="145" spans="3:54">
      <c r="C145" s="317" t="s">
        <v>420</v>
      </c>
      <c r="D145" s="207"/>
      <c r="E145" s="207" t="str">
        <f t="shared" si="33"/>
        <v>Motor</v>
      </c>
      <c r="F145" s="35" t="s">
        <v>560</v>
      </c>
      <c r="G145" s="36" t="e">
        <f t="shared" si="34"/>
        <v>#N/A</v>
      </c>
      <c r="H145" s="43">
        <v>30</v>
      </c>
      <c r="I145" s="43">
        <f>T_Controls[[#This Row],[Holding Capacity]]</f>
        <v>30</v>
      </c>
      <c r="J145" s="36">
        <v>1</v>
      </c>
      <c r="K145" s="208">
        <v>1.0000000000000001E-5</v>
      </c>
      <c r="L145" s="229">
        <v>15</v>
      </c>
      <c r="M145" s="495" t="str">
        <f t="shared" si="30"/>
        <v>-</v>
      </c>
      <c r="N145" s="158"/>
      <c r="O145" s="178">
        <f>IF(INDEX('3. Hardware Options'!$O$6:$O$50,MATCH(T_Controls[[#This Row],[Description]],'3. Hardware Options'!$L$6:$L$50,0))="Show",1,0)</f>
        <v>1</v>
      </c>
      <c r="P145" s="1">
        <f>IF(i_ControlType=T_Controls[[#This Row],[Control Type]],1,0)</f>
        <v>0</v>
      </c>
      <c r="Q145" s="1" t="e" cm="1">
        <f t="array" ref="Q145">INDEX(W145:AT145,,MATCH(i_Tube,$W$116:$AT$116,0))</f>
        <v>#N/A</v>
      </c>
      <c r="R145" s="1">
        <f t="shared" si="31"/>
        <v>1</v>
      </c>
      <c r="S145" s="1" t="e">
        <v>#N/A</v>
      </c>
      <c r="T145" s="630" t="e">
        <f>IF(AND(i_ControlType=T_Controls[[#This Row],[Control Type]],SheetStatus="Release - FFA"),1,SUMPRODUCT(P145,Q145,S145,O145,R145))</f>
        <v>#N/A</v>
      </c>
      <c r="W145" s="560"/>
      <c r="X145" s="560"/>
      <c r="Y145" s="560"/>
      <c r="Z145" s="560"/>
      <c r="AA145" s="560"/>
      <c r="AB145" s="560"/>
      <c r="AC145" s="560"/>
      <c r="AD145" s="560"/>
      <c r="AE145" s="560"/>
      <c r="AF145" s="560"/>
      <c r="AG145" s="560"/>
      <c r="AH145" s="560"/>
      <c r="AI145" s="560"/>
      <c r="AJ145" s="560"/>
      <c r="AK145" s="560"/>
      <c r="AL145" s="560"/>
      <c r="AM145" s="560"/>
      <c r="AN145" s="560"/>
      <c r="AO145" s="560"/>
      <c r="AP145" s="560"/>
      <c r="AQ145" s="560"/>
      <c r="AR145" s="560">
        <v>1</v>
      </c>
      <c r="AS145" s="560">
        <v>1</v>
      </c>
      <c r="AT145" s="560">
        <v>1</v>
      </c>
    </row>
    <row r="146" spans="3:54">
      <c r="C146" s="317" t="s">
        <v>420</v>
      </c>
      <c r="D146" s="207"/>
      <c r="E146" s="207" t="str">
        <f t="shared" si="33"/>
        <v>Motor</v>
      </c>
      <c r="F146" s="35" t="s">
        <v>561</v>
      </c>
      <c r="G146" s="36" t="e">
        <f t="shared" si="34"/>
        <v>#N/A</v>
      </c>
      <c r="H146" s="43">
        <v>50</v>
      </c>
      <c r="I146" s="43">
        <f>T_Controls[[#This Row],[Holding Capacity]]</f>
        <v>50</v>
      </c>
      <c r="J146" s="36">
        <v>1</v>
      </c>
      <c r="K146" s="208">
        <v>1.0000000000000001E-5</v>
      </c>
      <c r="L146" s="229">
        <v>12</v>
      </c>
      <c r="M146" s="495" t="str">
        <f t="shared" si="30"/>
        <v>-</v>
      </c>
      <c r="N146" s="158"/>
      <c r="O146" s="178">
        <f>IF(INDEX('3. Hardware Options'!$O$6:$O$50,MATCH(T_Controls[[#This Row],[Description]],'3. Hardware Options'!$L$6:$L$50,0))="Show",1,0)</f>
        <v>0</v>
      </c>
      <c r="P146" s="1">
        <f>IF(i_ControlType=T_Controls[[#This Row],[Control Type]],1,0)</f>
        <v>0</v>
      </c>
      <c r="Q146" s="1" t="e" cm="1">
        <f t="array" ref="Q146">INDEX(W146:AT146,,MATCH(i_Tube,$W$116:$AT$116,0))</f>
        <v>#N/A</v>
      </c>
      <c r="R146" s="1">
        <f t="shared" si="31"/>
        <v>1</v>
      </c>
      <c r="S146" s="1" t="e">
        <v>#N/A</v>
      </c>
      <c r="T146" s="630" t="e">
        <f>IF(AND(i_ControlType=T_Controls[[#This Row],[Control Type]],SheetStatus="Release - FFA"),1,SUMPRODUCT(P146,Q146,S146,O146,R146))</f>
        <v>#N/A</v>
      </c>
      <c r="W146" s="632"/>
      <c r="X146" s="632"/>
      <c r="Y146" s="632"/>
      <c r="Z146" s="632"/>
      <c r="AA146" s="632"/>
      <c r="AB146" s="632"/>
      <c r="AC146" s="632"/>
      <c r="AD146" s="632"/>
      <c r="AE146" s="632"/>
      <c r="AF146" s="632"/>
      <c r="AG146" s="632"/>
      <c r="AH146" s="632"/>
      <c r="AI146" s="632"/>
      <c r="AJ146" s="632"/>
      <c r="AK146" s="632"/>
      <c r="AL146" s="632"/>
      <c r="AM146" s="632"/>
      <c r="AN146" s="632"/>
      <c r="AO146" s="632"/>
      <c r="AP146" s="632"/>
      <c r="AQ146" s="632"/>
      <c r="AR146" s="632">
        <v>1</v>
      </c>
      <c r="AS146" s="632">
        <v>1</v>
      </c>
      <c r="AT146" s="632">
        <v>1</v>
      </c>
    </row>
    <row r="147" spans="3:54">
      <c r="W147" t="s">
        <v>985</v>
      </c>
    </row>
    <row r="148" spans="3:54">
      <c r="W148" t="e" cm="1">
        <f t="array" aca="1" ref="W148" ca="1">_xlfn._xlws.FILTER(Tube_ControlCompatibility,Tube_ControlCompatibility_Check=1,"")</f>
        <v>#N/A</v>
      </c>
    </row>
    <row r="149" spans="3:54" ht="15" thickBot="1"/>
    <row r="150" spans="3:54">
      <c r="C150" s="760" t="s">
        <v>21</v>
      </c>
      <c r="D150" s="761"/>
      <c r="E150" s="761"/>
      <c r="F150" s="762"/>
      <c r="G150" s="20" t="s">
        <v>40</v>
      </c>
      <c r="H150" s="25"/>
      <c r="I150" s="26"/>
      <c r="J150" s="26"/>
      <c r="K150" s="528"/>
    </row>
    <row r="151" spans="3:54">
      <c r="C151" s="6" t="s">
        <v>32</v>
      </c>
      <c r="D151" s="249"/>
      <c r="E151" s="7" t="s">
        <v>30</v>
      </c>
      <c r="F151" s="7" t="s">
        <v>16</v>
      </c>
      <c r="G151" s="21" t="s">
        <v>11</v>
      </c>
      <c r="H151" s="25"/>
      <c r="I151" s="26"/>
      <c r="J151" s="26"/>
    </row>
    <row r="152" spans="3:54">
      <c r="C152" s="9" t="s">
        <v>33</v>
      </c>
      <c r="D152" s="206"/>
      <c r="E152" s="10"/>
      <c r="F152" s="10" t="s">
        <v>36</v>
      </c>
      <c r="G152" s="22">
        <v>36.96</v>
      </c>
      <c r="H152" s="27"/>
      <c r="I152" s="1"/>
    </row>
    <row r="153" spans="3:54">
      <c r="C153" s="13" t="s">
        <v>34</v>
      </c>
      <c r="D153" s="240"/>
      <c r="E153" s="14"/>
      <c r="F153" s="14" t="s">
        <v>37</v>
      </c>
      <c r="G153" s="23">
        <v>42.67</v>
      </c>
      <c r="H153" s="27"/>
      <c r="I153" s="1"/>
    </row>
    <row r="154" spans="3:54" ht="15" thickBot="1">
      <c r="C154" s="16" t="s">
        <v>13</v>
      </c>
      <c r="D154" s="248"/>
      <c r="E154" s="17"/>
      <c r="F154" s="17" t="s">
        <v>38</v>
      </c>
      <c r="G154" s="24">
        <v>55.88</v>
      </c>
      <c r="H154" s="27"/>
      <c r="I154" s="1"/>
    </row>
    <row r="156" spans="3:54">
      <c r="O156" s="26" t="s">
        <v>343</v>
      </c>
    </row>
    <row r="157" spans="3:54" ht="15" thickBot="1">
      <c r="O157" s="1">
        <f ca="1">IF(SUM(O160:O203)=0,1,SUM(O160:O203))</f>
        <v>1</v>
      </c>
    </row>
    <row r="158" spans="3:54">
      <c r="C158" s="760" t="s">
        <v>115</v>
      </c>
      <c r="D158" s="761"/>
      <c r="E158" s="761"/>
      <c r="F158" s="762"/>
      <c r="G158" s="20" t="s">
        <v>12</v>
      </c>
      <c r="H158" s="5" t="s">
        <v>12</v>
      </c>
      <c r="K158" t="s">
        <v>685</v>
      </c>
    </row>
    <row r="159" spans="3:54">
      <c r="C159" s="209" t="s">
        <v>340</v>
      </c>
      <c r="D159" s="209" t="s">
        <v>270</v>
      </c>
      <c r="E159" s="209" t="s">
        <v>245</v>
      </c>
      <c r="F159" s="210" t="s">
        <v>30</v>
      </c>
      <c r="G159" s="210" t="s">
        <v>16</v>
      </c>
      <c r="H159" s="211" t="s">
        <v>116</v>
      </c>
      <c r="I159" s="211" t="s">
        <v>114</v>
      </c>
      <c r="K159" s="259" t="s">
        <v>571</v>
      </c>
      <c r="L159" s="259" t="s">
        <v>1023</v>
      </c>
      <c r="M159" s="116" t="s">
        <v>339</v>
      </c>
      <c r="N159" s="116" t="s">
        <v>341</v>
      </c>
      <c r="O159" s="116" t="s">
        <v>281</v>
      </c>
      <c r="P159" s="116" t="s">
        <v>342</v>
      </c>
      <c r="Q159" s="116" t="s">
        <v>332</v>
      </c>
      <c r="R159" s="116" t="s">
        <v>333</v>
      </c>
      <c r="S159" s="116" t="s">
        <v>148</v>
      </c>
      <c r="T159" s="116" t="s">
        <v>149</v>
      </c>
      <c r="U159" s="116" t="s">
        <v>88</v>
      </c>
      <c r="V159" s="116" t="s">
        <v>123</v>
      </c>
      <c r="W159" s="116" t="s">
        <v>973</v>
      </c>
      <c r="X159" s="116" t="s">
        <v>1002</v>
      </c>
      <c r="Y159" s="116" t="s">
        <v>995</v>
      </c>
      <c r="Z159" s="116" t="s">
        <v>393</v>
      </c>
      <c r="AA159" s="116" t="s">
        <v>1099</v>
      </c>
      <c r="AB159" s="116" t="s">
        <v>550</v>
      </c>
      <c r="AC159" s="190" t="s">
        <v>1145</v>
      </c>
      <c r="AD159" s="116" t="s">
        <v>549</v>
      </c>
      <c r="AE159" s="116" t="s">
        <v>1030</v>
      </c>
      <c r="AF159" s="116" t="s">
        <v>1015</v>
      </c>
      <c r="AG159" s="116" t="s">
        <v>1031</v>
      </c>
      <c r="AH159" s="116" t="s">
        <v>548</v>
      </c>
      <c r="AI159" s="116" t="s">
        <v>657</v>
      </c>
      <c r="AJ159" s="116" t="s">
        <v>658</v>
      </c>
      <c r="AK159" s="116" t="s">
        <v>659</v>
      </c>
      <c r="AL159" s="116" t="s">
        <v>660</v>
      </c>
      <c r="AM159" s="116" t="s">
        <v>1083</v>
      </c>
      <c r="AN159" s="116" t="s">
        <v>556</v>
      </c>
      <c r="AO159" s="116" t="s">
        <v>557</v>
      </c>
      <c r="AP159" s="116" t="s">
        <v>664</v>
      </c>
      <c r="AQ159" s="116" t="s">
        <v>1098</v>
      </c>
      <c r="AR159" s="116" t="s">
        <v>558</v>
      </c>
      <c r="AS159" s="116" t="s">
        <v>559</v>
      </c>
      <c r="AT159" s="116" t="s">
        <v>560</v>
      </c>
      <c r="AU159" s="116" t="s">
        <v>561</v>
      </c>
      <c r="AW159" s="26" t="s">
        <v>528</v>
      </c>
      <c r="BB159" s="1"/>
    </row>
    <row r="160" spans="3:54">
      <c r="C160" s="206" t="s">
        <v>309</v>
      </c>
      <c r="D160" s="10" t="s">
        <v>308</v>
      </c>
      <c r="E160" s="10" t="s">
        <v>266</v>
      </c>
      <c r="F160" s="10" t="s">
        <v>302</v>
      </c>
      <c r="G160" s="10" t="s">
        <v>487</v>
      </c>
      <c r="H160" s="11"/>
      <c r="I160" s="11">
        <v>59</v>
      </c>
      <c r="K160" s="39">
        <f>IF(INDEX('3. Hardware Options'!$T$6:$T$100,MATCH(T_Brackets[[#This Row],[Description]],'3. Hardware Options'!$Q$6:$Q$100,0))="Show",1,0)</f>
        <v>1</v>
      </c>
      <c r="L160" s="39">
        <f t="shared" ref="L160:L203" si="35">IF(i_Region="Global",1,IF(OR(i_Region=E160,E160="Global"),1,0))</f>
        <v>0</v>
      </c>
      <c r="M160" s="39" cm="1">
        <f t="array" aca="1" ref="M160" ca="1">IFERROR(IF(INDIRECT("o_"&amp;T_Brackets[[#This Row],[Column2]]&amp;"ActualRoll_mm")&lt;T_Brackets[[#This Row],[Max Roll Diameter]],1,0),0)</f>
        <v>0</v>
      </c>
      <c r="N160" s="39" cm="1">
        <f t="array" ref="N160">IFERROR(INDEX($Q160:$AU160,,MATCH(i_Control,$Q$159:$AU$159,0)),0)</f>
        <v>0</v>
      </c>
      <c r="O160" s="39">
        <f t="shared" ref="O160:O203" ca="1" si="36">IF(AND(K160&lt;&gt;0,SheetStatus="Release - FFA"),1,SUMPRODUCT(M160,N160,K160,L160))</f>
        <v>0</v>
      </c>
      <c r="P160" s="339" t="str" cm="1">
        <f t="array" ref="P160">IFERROR(IF(i_Control="",z_SelectaControl,_xlfn._xlws.FILTER($G$160:$G$203,$O$160:$O$203)),z_NoOptions)</f>
        <v>Select a Control.</v>
      </c>
      <c r="Q160" s="39"/>
      <c r="R160" s="39"/>
      <c r="S160" s="39"/>
      <c r="T160" s="39"/>
      <c r="U160" s="39"/>
      <c r="V160" s="39"/>
      <c r="W160" s="39">
        <v>1</v>
      </c>
      <c r="X160" s="39">
        <v>1</v>
      </c>
      <c r="Y160" s="39">
        <v>1</v>
      </c>
      <c r="Z160" s="39"/>
      <c r="AA160" s="39"/>
      <c r="AB160" s="39"/>
      <c r="AC160" s="39"/>
      <c r="AD160" s="39"/>
      <c r="AE160" s="39"/>
      <c r="AF160" s="39"/>
      <c r="AG160" s="39"/>
      <c r="AH160" s="39"/>
      <c r="AI160" s="39">
        <v>1</v>
      </c>
      <c r="AJ160" s="39"/>
      <c r="AK160" s="39"/>
      <c r="AL160" s="39"/>
      <c r="AM160" s="39"/>
      <c r="AN160" s="39"/>
      <c r="AO160" s="39"/>
      <c r="AP160" s="39"/>
      <c r="AQ160" s="39"/>
      <c r="AR160" s="39"/>
      <c r="AS160" s="39"/>
      <c r="AT160" s="39"/>
      <c r="AU160" s="11"/>
      <c r="AV160" s="1"/>
      <c r="AW160" s="1">
        <f t="shared" ref="AW160:AW203" si="37">SUM(Q160:AU160)</f>
        <v>4</v>
      </c>
      <c r="AX160" s="1"/>
      <c r="AY160" s="1"/>
      <c r="AZ160" s="1"/>
      <c r="BA160" s="1"/>
      <c r="BB160" s="1"/>
    </row>
    <row r="161" spans="3:54">
      <c r="C161" s="240" t="s">
        <v>309</v>
      </c>
      <c r="D161" s="14" t="s">
        <v>308</v>
      </c>
      <c r="E161" s="14" t="s">
        <v>266</v>
      </c>
      <c r="F161" s="14" t="s">
        <v>304</v>
      </c>
      <c r="G161" s="14" t="s">
        <v>488</v>
      </c>
      <c r="H161" s="15"/>
      <c r="I161" s="15">
        <v>76.2</v>
      </c>
      <c r="K161" s="39">
        <f>IF(INDEX('3. Hardware Options'!$T$6:$T$100,MATCH(T_Brackets[[#This Row],[Description]],'3. Hardware Options'!$Q$6:$Q$100,0))="Show",1,0)</f>
        <v>1</v>
      </c>
      <c r="L161" s="39">
        <f t="shared" si="35"/>
        <v>0</v>
      </c>
      <c r="M161" s="15" cm="1">
        <f t="array" aca="1" ref="M161" ca="1">IFERROR(IF(INDIRECT("o_"&amp;T_Brackets[[#This Row],[Column2]]&amp;"ActualRoll_mm")&lt;T_Brackets[[#This Row],[Max Roll Diameter]],1,0),0)</f>
        <v>0</v>
      </c>
      <c r="N161" s="15" cm="1">
        <f t="array" ref="N161">IFERROR(INDEX($Q161:$AU161,,MATCH(i_Control,$Q$159:$AU$159,0)),0)</f>
        <v>0</v>
      </c>
      <c r="O161" s="39">
        <f t="shared" ca="1" si="36"/>
        <v>0</v>
      </c>
      <c r="P161" s="340"/>
      <c r="Q161" s="15">
        <v>1</v>
      </c>
      <c r="R161" s="15"/>
      <c r="S161" s="15"/>
      <c r="T161" s="15"/>
      <c r="U161" s="15"/>
      <c r="V161" s="15"/>
      <c r="W161" s="15">
        <v>1</v>
      </c>
      <c r="X161" s="15">
        <v>1</v>
      </c>
      <c r="Y161" s="15">
        <v>1</v>
      </c>
      <c r="Z161" s="15"/>
      <c r="AA161" s="15"/>
      <c r="AB161" s="15"/>
      <c r="AC161" s="15"/>
      <c r="AD161" s="15"/>
      <c r="AE161" s="15"/>
      <c r="AF161" s="15"/>
      <c r="AG161" s="15"/>
      <c r="AH161" s="15"/>
      <c r="AI161" s="15">
        <v>1</v>
      </c>
      <c r="AJ161" s="15">
        <v>1</v>
      </c>
      <c r="AK161" s="15">
        <v>1</v>
      </c>
      <c r="AL161" s="15"/>
      <c r="AM161" s="15">
        <v>1</v>
      </c>
      <c r="AN161" s="15">
        <v>1</v>
      </c>
      <c r="AO161" s="15">
        <v>1</v>
      </c>
      <c r="AP161" s="15"/>
      <c r="AQ161" s="15"/>
      <c r="AR161" s="15"/>
      <c r="AS161" s="15"/>
      <c r="AT161" s="15"/>
      <c r="AU161" s="15"/>
      <c r="AV161" s="1"/>
      <c r="AW161" s="1">
        <f t="shared" si="37"/>
        <v>10</v>
      </c>
      <c r="AX161" s="1"/>
      <c r="AY161" s="1"/>
      <c r="AZ161" s="1"/>
      <c r="BA161" s="1"/>
      <c r="BB161" s="1"/>
    </row>
    <row r="162" spans="3:54">
      <c r="C162" s="240" t="s">
        <v>309</v>
      </c>
      <c r="D162" s="14" t="s">
        <v>308</v>
      </c>
      <c r="E162" s="14" t="s">
        <v>266</v>
      </c>
      <c r="F162" s="14" t="s">
        <v>305</v>
      </c>
      <c r="G162" s="14" t="s">
        <v>489</v>
      </c>
      <c r="H162" s="15"/>
      <c r="I162" s="15">
        <v>101.6</v>
      </c>
      <c r="K162" s="39">
        <f>IF(INDEX('3. Hardware Options'!$T$6:$T$100,MATCH(T_Brackets[[#This Row],[Description]],'3. Hardware Options'!$Q$6:$Q$100,0))="Show",1,0)</f>
        <v>1</v>
      </c>
      <c r="L162" s="39">
        <f t="shared" si="35"/>
        <v>0</v>
      </c>
      <c r="M162" s="15" cm="1">
        <f t="array" aca="1" ref="M162" ca="1">IFERROR(IF(INDIRECT("o_"&amp;T_Brackets[[#This Row],[Column2]]&amp;"ActualRoll_mm")&lt;T_Brackets[[#This Row],[Max Roll Diameter]],1,0),0)</f>
        <v>0</v>
      </c>
      <c r="N162" s="15" cm="1">
        <f t="array" ref="N162">IFERROR(INDEX($Q162:$AU162,,MATCH(i_Control,$Q$159:$AU$159,0)),0)</f>
        <v>0</v>
      </c>
      <c r="O162" s="39">
        <f t="shared" ca="1" si="36"/>
        <v>0</v>
      </c>
      <c r="P162" s="340"/>
      <c r="Q162" s="15">
        <v>1</v>
      </c>
      <c r="R162" s="15">
        <v>1</v>
      </c>
      <c r="S162" s="15"/>
      <c r="T162" s="15"/>
      <c r="U162" s="15"/>
      <c r="V162" s="15"/>
      <c r="W162" s="15">
        <v>1</v>
      </c>
      <c r="X162" s="15">
        <v>1</v>
      </c>
      <c r="Y162" s="15">
        <v>1</v>
      </c>
      <c r="Z162" s="15"/>
      <c r="AA162" s="15"/>
      <c r="AB162" s="15"/>
      <c r="AC162" s="15"/>
      <c r="AD162" s="15"/>
      <c r="AE162" s="15"/>
      <c r="AF162" s="15"/>
      <c r="AG162" s="15"/>
      <c r="AH162" s="15"/>
      <c r="AI162" s="15">
        <v>1</v>
      </c>
      <c r="AJ162" s="15">
        <v>1</v>
      </c>
      <c r="AK162" s="15">
        <v>1</v>
      </c>
      <c r="AL162" s="15">
        <v>1</v>
      </c>
      <c r="AM162" s="15">
        <v>1</v>
      </c>
      <c r="AN162" s="15">
        <v>1</v>
      </c>
      <c r="AO162" s="15">
        <v>1</v>
      </c>
      <c r="AP162" s="15"/>
      <c r="AQ162" s="15"/>
      <c r="AR162" s="15"/>
      <c r="AS162" s="15"/>
      <c r="AT162" s="15"/>
      <c r="AU162" s="15"/>
      <c r="AV162" s="1"/>
      <c r="AW162" s="1">
        <f t="shared" si="37"/>
        <v>12</v>
      </c>
      <c r="AX162" s="1"/>
      <c r="AY162" s="1"/>
      <c r="AZ162" s="1"/>
      <c r="BA162" s="1"/>
      <c r="BB162" s="1"/>
    </row>
    <row r="163" spans="3:54">
      <c r="C163" s="240" t="s">
        <v>309</v>
      </c>
      <c r="D163" s="14" t="s">
        <v>308</v>
      </c>
      <c r="E163" s="14" t="s">
        <v>266</v>
      </c>
      <c r="F163" s="14" t="s">
        <v>306</v>
      </c>
      <c r="G163" s="14" t="s">
        <v>490</v>
      </c>
      <c r="H163" s="15"/>
      <c r="I163" s="15">
        <v>127.5</v>
      </c>
      <c r="K163" s="39">
        <f>IF(INDEX('3. Hardware Options'!$T$6:$T$100,MATCH(T_Brackets[[#This Row],[Description]],'3. Hardware Options'!$Q$6:$Q$100,0))="Show",1,0)</f>
        <v>1</v>
      </c>
      <c r="L163" s="39">
        <f t="shared" si="35"/>
        <v>0</v>
      </c>
      <c r="M163" s="15" cm="1">
        <f t="array" aca="1" ref="M163" ca="1">IFERROR(IF(INDIRECT("o_"&amp;T_Brackets[[#This Row],[Column2]]&amp;"ActualRoll_mm")&lt;T_Brackets[[#This Row],[Max Roll Diameter]],1,0),0)</f>
        <v>0</v>
      </c>
      <c r="N163" s="15" cm="1">
        <f t="array" ref="N163">IFERROR(INDEX($Q163:$AU163,,MATCH(i_Control,$Q$159:$AU$159,0)),0)</f>
        <v>0</v>
      </c>
      <c r="O163" s="39">
        <f t="shared" ca="1" si="36"/>
        <v>0</v>
      </c>
      <c r="P163" s="340"/>
      <c r="Q163" s="15">
        <v>1</v>
      </c>
      <c r="R163" s="15">
        <v>1</v>
      </c>
      <c r="S163" s="15"/>
      <c r="T163" s="15"/>
      <c r="U163" s="15"/>
      <c r="V163" s="15"/>
      <c r="W163" s="15">
        <v>1</v>
      </c>
      <c r="X163" s="15">
        <v>1</v>
      </c>
      <c r="Y163" s="15">
        <v>1</v>
      </c>
      <c r="Z163" s="15"/>
      <c r="AA163" s="15"/>
      <c r="AB163" s="15"/>
      <c r="AC163" s="15"/>
      <c r="AD163" s="15"/>
      <c r="AE163" s="15"/>
      <c r="AF163" s="15"/>
      <c r="AG163" s="15"/>
      <c r="AH163" s="15"/>
      <c r="AI163" s="15">
        <v>1</v>
      </c>
      <c r="AJ163" s="15">
        <v>1</v>
      </c>
      <c r="AK163" s="15">
        <v>1</v>
      </c>
      <c r="AL163" s="15">
        <v>1</v>
      </c>
      <c r="AM163" s="15">
        <v>1</v>
      </c>
      <c r="AN163" s="15">
        <v>1</v>
      </c>
      <c r="AO163" s="15">
        <v>1</v>
      </c>
      <c r="AP163" s="15"/>
      <c r="AQ163" s="15"/>
      <c r="AR163" s="15"/>
      <c r="AS163" s="15"/>
      <c r="AT163" s="15"/>
      <c r="AU163" s="15"/>
      <c r="AV163" s="1"/>
      <c r="AW163" s="1">
        <f t="shared" si="37"/>
        <v>12</v>
      </c>
      <c r="AX163" s="1"/>
      <c r="AY163" s="1"/>
      <c r="AZ163" s="1"/>
      <c r="BA163" s="1"/>
      <c r="BB163" s="1"/>
    </row>
    <row r="164" spans="3:54">
      <c r="C164" s="240" t="s">
        <v>309</v>
      </c>
      <c r="D164" s="14" t="s">
        <v>307</v>
      </c>
      <c r="E164" s="14" t="s">
        <v>266</v>
      </c>
      <c r="F164" s="14"/>
      <c r="G164" s="14" t="s">
        <v>400</v>
      </c>
      <c r="H164" s="15"/>
      <c r="I164" s="15">
        <v>69</v>
      </c>
      <c r="K164" s="39">
        <f>IF(INDEX('3. Hardware Options'!$T$6:$T$100,MATCH(T_Brackets[[#This Row],[Description]],'3. Hardware Options'!$Q$6:$Q$100,0))="Show",1,0)</f>
        <v>1</v>
      </c>
      <c r="L164" s="39">
        <f t="shared" si="35"/>
        <v>0</v>
      </c>
      <c r="M164" s="15" cm="1">
        <f t="array" aca="1" ref="M164" ca="1">IFERROR(IF(INDIRECT("o_"&amp;T_Brackets[[#This Row],[Column2]]&amp;"ActualRoll_mm")&lt;T_Brackets[[#This Row],[Max Roll Diameter]],1,0),0)</f>
        <v>0</v>
      </c>
      <c r="N164" s="15" cm="1">
        <f t="array" ref="N164">IFERROR(INDEX($Q164:$AU164,,MATCH(i_Control,$Q$159:$AU$159,0)),0)</f>
        <v>0</v>
      </c>
      <c r="O164" s="39">
        <f t="shared" ca="1" si="36"/>
        <v>0</v>
      </c>
      <c r="P164" s="340"/>
      <c r="Q164" s="15"/>
      <c r="R164" s="15"/>
      <c r="S164" s="15">
        <v>1</v>
      </c>
      <c r="T164" s="15">
        <v>1</v>
      </c>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
      <c r="AW164" s="1">
        <f t="shared" si="37"/>
        <v>2</v>
      </c>
      <c r="AX164" s="1"/>
      <c r="AY164" s="1"/>
      <c r="AZ164" s="1"/>
      <c r="BA164" s="1"/>
      <c r="BB164" s="1"/>
    </row>
    <row r="165" spans="3:54">
      <c r="C165" s="240" t="s">
        <v>309</v>
      </c>
      <c r="D165" s="14" t="s">
        <v>307</v>
      </c>
      <c r="E165" s="14" t="s">
        <v>266</v>
      </c>
      <c r="F165" s="14"/>
      <c r="G165" s="14" t="s">
        <v>398</v>
      </c>
      <c r="H165" s="15"/>
      <c r="I165" s="15">
        <v>92</v>
      </c>
      <c r="K165" s="39">
        <f>IF(INDEX('3. Hardware Options'!$T$6:$T$100,MATCH(T_Brackets[[#This Row],[Description]],'3. Hardware Options'!$Q$6:$Q$100,0))="Show",1,0)</f>
        <v>1</v>
      </c>
      <c r="L165" s="39">
        <f t="shared" si="35"/>
        <v>0</v>
      </c>
      <c r="M165" s="15" cm="1">
        <f t="array" aca="1" ref="M165" ca="1">IFERROR(IF(INDIRECT("o_"&amp;T_Brackets[[#This Row],[Column2]]&amp;"ActualRoll_mm")&lt;T_Brackets[[#This Row],[Max Roll Diameter]],1,0),0)</f>
        <v>0</v>
      </c>
      <c r="N165" s="15" cm="1">
        <f t="array" ref="N165">IFERROR(INDEX($Q165:$AU165,,MATCH(i_Control,$Q$159:$AU$159,0)),0)</f>
        <v>0</v>
      </c>
      <c r="O165" s="39">
        <f t="shared" ca="1" si="36"/>
        <v>0</v>
      </c>
      <c r="P165" s="340"/>
      <c r="Q165" s="15"/>
      <c r="R165" s="15"/>
      <c r="S165" s="15">
        <v>1</v>
      </c>
      <c r="T165" s="15">
        <v>1</v>
      </c>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
      <c r="AW165" s="1">
        <f t="shared" si="37"/>
        <v>2</v>
      </c>
      <c r="AX165" s="1"/>
      <c r="AY165" s="1"/>
      <c r="AZ165" s="1"/>
      <c r="BA165" s="1"/>
      <c r="BB165" s="1"/>
    </row>
    <row r="166" spans="3:54">
      <c r="C166" s="240" t="s">
        <v>309</v>
      </c>
      <c r="D166" s="14" t="s">
        <v>307</v>
      </c>
      <c r="E166" s="14" t="s">
        <v>266</v>
      </c>
      <c r="F166" s="14"/>
      <c r="G166" s="14" t="s">
        <v>399</v>
      </c>
      <c r="H166" s="15"/>
      <c r="I166" s="15">
        <v>101</v>
      </c>
      <c r="K166" s="39">
        <f>IF(INDEX('3. Hardware Options'!$T$6:$T$100,MATCH(T_Brackets[[#This Row],[Description]],'3. Hardware Options'!$Q$6:$Q$100,0))="Show",1,0)</f>
        <v>1</v>
      </c>
      <c r="L166" s="39">
        <f t="shared" si="35"/>
        <v>0</v>
      </c>
      <c r="M166" s="15" cm="1">
        <f t="array" aca="1" ref="M166" ca="1">IFERROR(IF(INDIRECT("o_"&amp;T_Brackets[[#This Row],[Column2]]&amp;"ActualRoll_mm")&lt;T_Brackets[[#This Row],[Max Roll Diameter]],1,0),0)</f>
        <v>0</v>
      </c>
      <c r="N166" s="15" cm="1">
        <f t="array" ref="N166">IFERROR(INDEX($Q166:$AU166,,MATCH(i_Control,$Q$159:$AU$159,0)),0)</f>
        <v>0</v>
      </c>
      <c r="O166" s="39">
        <f t="shared" ca="1" si="36"/>
        <v>0</v>
      </c>
      <c r="P166" s="340"/>
      <c r="Q166" s="15"/>
      <c r="R166" s="15"/>
      <c r="S166" s="15">
        <v>1</v>
      </c>
      <c r="T166" s="15">
        <v>1</v>
      </c>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
      <c r="AW166" s="1">
        <f t="shared" si="37"/>
        <v>2</v>
      </c>
      <c r="AX166" s="1"/>
      <c r="AY166" s="1"/>
      <c r="AZ166" s="1"/>
      <c r="BA166" s="1"/>
      <c r="BB166" s="1"/>
    </row>
    <row r="167" spans="3:54">
      <c r="C167" s="240" t="s">
        <v>309</v>
      </c>
      <c r="D167" s="14" t="s">
        <v>307</v>
      </c>
      <c r="E167" s="14" t="s">
        <v>266</v>
      </c>
      <c r="F167" s="14"/>
      <c r="G167" s="14" t="s">
        <v>401</v>
      </c>
      <c r="H167" s="15"/>
      <c r="I167" s="15">
        <v>76</v>
      </c>
      <c r="K167" s="39">
        <f>IF(INDEX('3. Hardware Options'!$T$6:$T$100,MATCH(T_Brackets[[#This Row],[Description]],'3. Hardware Options'!$Q$6:$Q$100,0))="Show",1,0)</f>
        <v>1</v>
      </c>
      <c r="L167" s="39">
        <f t="shared" si="35"/>
        <v>0</v>
      </c>
      <c r="M167" s="15" cm="1">
        <f t="array" aca="1" ref="M167" ca="1">IFERROR(IF(INDIRECT("o_"&amp;T_Brackets[[#This Row],[Column2]]&amp;"ActualRoll_mm")&lt;T_Brackets[[#This Row],[Max Roll Diameter]],1,0),0)</f>
        <v>0</v>
      </c>
      <c r="N167" s="15" cm="1">
        <f t="array" ref="N167">IFERROR(INDEX($Q167:$AU167,,MATCH(i_Control,$Q$159:$AU$159,0)),0)</f>
        <v>0</v>
      </c>
      <c r="O167" s="39">
        <f t="shared" ca="1" si="36"/>
        <v>0</v>
      </c>
      <c r="P167" s="340"/>
      <c r="Q167" s="15"/>
      <c r="R167" s="15"/>
      <c r="S167" s="15"/>
      <c r="T167" s="15"/>
      <c r="U167" s="15">
        <v>1</v>
      </c>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
      <c r="AW167" s="1">
        <f t="shared" si="37"/>
        <v>1</v>
      </c>
      <c r="AX167" s="1"/>
      <c r="AY167" s="1"/>
      <c r="AZ167" s="1"/>
      <c r="BA167" s="1"/>
      <c r="BB167" s="1"/>
    </row>
    <row r="168" spans="3:54">
      <c r="C168" s="240" t="s">
        <v>309</v>
      </c>
      <c r="D168" s="14" t="s">
        <v>307</v>
      </c>
      <c r="E168" s="14" t="s">
        <v>266</v>
      </c>
      <c r="F168" s="14"/>
      <c r="G168" s="14" t="s">
        <v>402</v>
      </c>
      <c r="H168" s="15"/>
      <c r="I168" s="15">
        <v>101</v>
      </c>
      <c r="K168" s="39">
        <f>IF(INDEX('3. Hardware Options'!$T$6:$T$100,MATCH(T_Brackets[[#This Row],[Description]],'3. Hardware Options'!$Q$6:$Q$100,0))="Show",1,0)</f>
        <v>1</v>
      </c>
      <c r="L168" s="39">
        <f t="shared" si="35"/>
        <v>0</v>
      </c>
      <c r="M168" s="15" cm="1">
        <f t="array" aca="1" ref="M168" ca="1">IFERROR(IF(INDIRECT("o_"&amp;T_Brackets[[#This Row],[Column2]]&amp;"ActualRoll_mm")&lt;T_Brackets[[#This Row],[Max Roll Diameter]],1,0),0)</f>
        <v>0</v>
      </c>
      <c r="N168" s="15" cm="1">
        <f t="array" ref="N168">IFERROR(INDEX($Q168:$AU168,,MATCH(i_Control,$Q$159:$AU$159,0)),0)</f>
        <v>0</v>
      </c>
      <c r="O168" s="39">
        <f t="shared" ca="1" si="36"/>
        <v>0</v>
      </c>
      <c r="P168" s="340"/>
      <c r="Q168" s="15"/>
      <c r="R168" s="15"/>
      <c r="S168" s="15"/>
      <c r="T168" s="15"/>
      <c r="U168" s="15">
        <v>1</v>
      </c>
      <c r="V168" s="15">
        <v>1</v>
      </c>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
      <c r="AW168" s="1">
        <f t="shared" si="37"/>
        <v>2</v>
      </c>
      <c r="AX168" s="1"/>
      <c r="AY168" s="1"/>
      <c r="AZ168" s="1"/>
      <c r="BA168" s="1"/>
      <c r="BB168" s="1"/>
    </row>
    <row r="169" spans="3:54">
      <c r="C169" s="240" t="s">
        <v>309</v>
      </c>
      <c r="D169" s="14" t="s">
        <v>307</v>
      </c>
      <c r="E169" s="14" t="s">
        <v>266</v>
      </c>
      <c r="F169" s="14"/>
      <c r="G169" s="14" t="s">
        <v>403</v>
      </c>
      <c r="H169" s="15"/>
      <c r="I169" s="15">
        <v>139</v>
      </c>
      <c r="K169" s="39">
        <f>IF(INDEX('3. Hardware Options'!$T$6:$T$100,MATCH(T_Brackets[[#This Row],[Description]],'3. Hardware Options'!$Q$6:$Q$100,0))="Show",1,0)</f>
        <v>1</v>
      </c>
      <c r="L169" s="39">
        <f t="shared" si="35"/>
        <v>0</v>
      </c>
      <c r="M169" s="15" cm="1">
        <f t="array" aca="1" ref="M169" ca="1">IFERROR(IF(INDIRECT("o_"&amp;T_Brackets[[#This Row],[Column2]]&amp;"ActualRoll_mm")&lt;T_Brackets[[#This Row],[Max Roll Diameter]],1,0),0)</f>
        <v>0</v>
      </c>
      <c r="N169" s="15" cm="1">
        <f t="array" ref="N169">IFERROR(INDEX($Q169:$AU169,,MATCH(i_Control,$Q$159:$AU$159,0)),0)</f>
        <v>0</v>
      </c>
      <c r="O169" s="39">
        <f t="shared" ca="1" si="36"/>
        <v>0</v>
      </c>
      <c r="P169" s="340"/>
      <c r="Q169" s="15"/>
      <c r="R169" s="15"/>
      <c r="S169" s="15"/>
      <c r="T169" s="15"/>
      <c r="U169" s="15">
        <v>1</v>
      </c>
      <c r="V169" s="15">
        <v>1</v>
      </c>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
      <c r="AW169" s="1">
        <f t="shared" si="37"/>
        <v>2</v>
      </c>
      <c r="AX169" s="1"/>
      <c r="AY169" s="1"/>
      <c r="AZ169" s="1"/>
      <c r="BA169" s="1"/>
      <c r="BB169" s="1"/>
    </row>
    <row r="170" spans="3:54">
      <c r="C170" s="240" t="s">
        <v>309</v>
      </c>
      <c r="D170" s="14" t="s">
        <v>307</v>
      </c>
      <c r="E170" s="14" t="s">
        <v>266</v>
      </c>
      <c r="F170" s="14"/>
      <c r="G170" s="14" t="s">
        <v>294</v>
      </c>
      <c r="H170" s="15"/>
      <c r="I170" s="15">
        <v>101</v>
      </c>
      <c r="K170" s="39">
        <f>IF(INDEX('3. Hardware Options'!$T$6:$T$100,MATCH(T_Brackets[[#This Row],[Description]],'3. Hardware Options'!$Q$6:$Q$100,0))="Show",1,0)</f>
        <v>1</v>
      </c>
      <c r="L170" s="39">
        <f t="shared" si="35"/>
        <v>0</v>
      </c>
      <c r="M170" s="15" cm="1">
        <f t="array" aca="1" ref="M170" ca="1">IFERROR(IF(INDIRECT("o_"&amp;T_Brackets[[#This Row],[Column2]]&amp;"ActualRoll_mm")&lt;T_Brackets[[#This Row],[Max Roll Diameter]],1,0),0)</f>
        <v>0</v>
      </c>
      <c r="N170" s="15" cm="1">
        <f t="array" ref="N170">IFERROR(INDEX($Q170:$AU170,,MATCH(i_Control,$Q$159:$AU$159,0)),0)</f>
        <v>0</v>
      </c>
      <c r="O170" s="39">
        <f t="shared" ca="1" si="36"/>
        <v>0</v>
      </c>
      <c r="P170" s="340"/>
      <c r="Q170" s="15"/>
      <c r="R170" s="15"/>
      <c r="S170" s="15"/>
      <c r="T170" s="15"/>
      <c r="U170" s="15">
        <v>1</v>
      </c>
      <c r="V170" s="15">
        <v>1</v>
      </c>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
      <c r="AW170" s="1">
        <f t="shared" si="37"/>
        <v>2</v>
      </c>
      <c r="AX170" s="1"/>
      <c r="AY170" s="1"/>
      <c r="AZ170" s="1"/>
      <c r="BA170" s="1"/>
      <c r="BB170" s="1"/>
    </row>
    <row r="171" spans="3:54">
      <c r="C171" s="240" t="s">
        <v>309</v>
      </c>
      <c r="D171" s="14"/>
      <c r="E171" s="14" t="s">
        <v>265</v>
      </c>
      <c r="F171" s="14" t="s">
        <v>303</v>
      </c>
      <c r="G171" s="14" t="s">
        <v>524</v>
      </c>
      <c r="H171" s="15"/>
      <c r="I171" s="15">
        <v>57</v>
      </c>
      <c r="K171" s="39">
        <f>IF(INDEX('3. Hardware Options'!$T$6:$T$100,MATCH(T_Brackets[[#This Row],[Description]],'3. Hardware Options'!$Q$6:$Q$100,0))="Show",1,0)</f>
        <v>1</v>
      </c>
      <c r="L171" s="39">
        <f t="shared" si="35"/>
        <v>1</v>
      </c>
      <c r="M171" s="15" cm="1">
        <f t="array" aca="1" ref="M171" ca="1">IFERROR(IF(INDIRECT("o_"&amp;T_Brackets[[#This Row],[Column2]]&amp;"ActualRoll_mm")&lt;T_Brackets[[#This Row],[Max Roll Diameter]],1,0),0)</f>
        <v>0</v>
      </c>
      <c r="N171" s="15" cm="1">
        <f t="array" ref="N171">IFERROR(INDEX($Q171:$AU171,,MATCH(i_Control,$Q$159:$AU$159,0)),0)</f>
        <v>0</v>
      </c>
      <c r="O171" s="39">
        <f t="shared" ca="1" si="36"/>
        <v>0</v>
      </c>
      <c r="P171" s="340"/>
      <c r="Q171" s="15"/>
      <c r="R171" s="15"/>
      <c r="S171" s="15"/>
      <c r="T171" s="15"/>
      <c r="U171" s="15"/>
      <c r="V171" s="15"/>
      <c r="W171" s="15"/>
      <c r="X171" s="15"/>
      <c r="Y171" s="15"/>
      <c r="Z171" s="15">
        <v>1</v>
      </c>
      <c r="AA171" s="15"/>
      <c r="AB171" s="15"/>
      <c r="AC171" s="15"/>
      <c r="AD171" s="15"/>
      <c r="AE171" s="15"/>
      <c r="AF171" s="15"/>
      <c r="AG171" s="15"/>
      <c r="AH171" s="15"/>
      <c r="AI171" s="15"/>
      <c r="AJ171" s="15"/>
      <c r="AK171" s="15"/>
      <c r="AL171" s="15"/>
      <c r="AM171" s="15">
        <v>1</v>
      </c>
      <c r="AN171" s="15">
        <v>1</v>
      </c>
      <c r="AO171" s="15">
        <v>1</v>
      </c>
      <c r="AP171" s="15"/>
      <c r="AQ171" s="15"/>
      <c r="AR171" s="15"/>
      <c r="AS171" s="15"/>
      <c r="AT171" s="15"/>
      <c r="AU171" s="15"/>
      <c r="AV171" s="1"/>
      <c r="AW171" s="1">
        <f t="shared" si="37"/>
        <v>4</v>
      </c>
      <c r="AX171" s="1"/>
      <c r="AY171" s="1"/>
      <c r="AZ171" s="1"/>
      <c r="BA171" s="1"/>
      <c r="BB171" s="1"/>
    </row>
    <row r="172" spans="3:54">
      <c r="C172" s="240" t="s">
        <v>309</v>
      </c>
      <c r="D172" s="14"/>
      <c r="E172" s="14" t="s">
        <v>420</v>
      </c>
      <c r="F172" s="14"/>
      <c r="G172" s="14" t="s">
        <v>748</v>
      </c>
      <c r="H172" s="15"/>
      <c r="I172" s="15">
        <v>77</v>
      </c>
      <c r="K172" s="39">
        <f>IF(INDEX('3. Hardware Options'!$T$6:$T$100,MATCH(T_Brackets[[#This Row],[Description]],'3. Hardware Options'!$Q$6:$Q$100,0))="Show",1,0)</f>
        <v>1</v>
      </c>
      <c r="L172" s="39">
        <f t="shared" si="35"/>
        <v>1</v>
      </c>
      <c r="M172" s="15" cm="1">
        <f t="array" aca="1" ref="M172" ca="1">IFERROR(IF(INDIRECT("o_"&amp;T_Brackets[[#This Row],[Column2]]&amp;"ActualRoll_mm")&lt;T_Brackets[[#This Row],[Max Roll Diameter]],1,0),0)</f>
        <v>0</v>
      </c>
      <c r="N172" s="15" cm="1">
        <f t="array" ref="N172">IFERROR(INDEX($Q172:$AU172,,MATCH(i_Control,$Q$159:$AU$159,0)),0)</f>
        <v>0</v>
      </c>
      <c r="O172" s="39">
        <f t="shared" ca="1" si="36"/>
        <v>0</v>
      </c>
      <c r="P172" s="340"/>
      <c r="Q172" s="15">
        <v>1</v>
      </c>
      <c r="R172" s="15"/>
      <c r="S172" s="15"/>
      <c r="T172" s="15"/>
      <c r="U172" s="15"/>
      <c r="V172" s="15"/>
      <c r="W172" s="15">
        <v>1</v>
      </c>
      <c r="X172" s="15">
        <v>1</v>
      </c>
      <c r="Y172" s="15">
        <v>1</v>
      </c>
      <c r="Z172" s="15"/>
      <c r="AA172" s="15">
        <v>1</v>
      </c>
      <c r="AB172" s="15">
        <v>1</v>
      </c>
      <c r="AC172" s="266">
        <f t="shared" ref="AC172:AG172" si="38">IF(i_Tube=S60_STD,"",1)</f>
        <v>1</v>
      </c>
      <c r="AD172" s="266">
        <f t="shared" si="38"/>
        <v>1</v>
      </c>
      <c r="AE172" s="266">
        <f t="shared" si="38"/>
        <v>1</v>
      </c>
      <c r="AF172" s="266">
        <f t="shared" si="38"/>
        <v>1</v>
      </c>
      <c r="AG172" s="266">
        <f t="shared" si="38"/>
        <v>1</v>
      </c>
      <c r="AH172" s="15"/>
      <c r="AI172" s="15">
        <v>1</v>
      </c>
      <c r="AJ172" s="15">
        <v>1</v>
      </c>
      <c r="AK172" s="15">
        <v>1</v>
      </c>
      <c r="AL172" s="15"/>
      <c r="AM172" s="15">
        <v>1</v>
      </c>
      <c r="AN172" s="15">
        <v>1</v>
      </c>
      <c r="AO172" s="15">
        <v>1</v>
      </c>
      <c r="AP172" s="15">
        <v>1</v>
      </c>
      <c r="AQ172" s="15">
        <v>1</v>
      </c>
      <c r="AR172" s="15"/>
      <c r="AS172" s="15"/>
      <c r="AT172" s="15"/>
      <c r="AU172" s="15"/>
      <c r="AV172" s="1"/>
      <c r="AW172" s="1">
        <f t="shared" si="37"/>
        <v>19</v>
      </c>
      <c r="AX172" s="1"/>
      <c r="AY172" s="1"/>
      <c r="AZ172" s="1"/>
      <c r="BA172" s="1"/>
      <c r="BB172" s="1"/>
    </row>
    <row r="173" spans="3:54">
      <c r="C173" s="240" t="s">
        <v>309</v>
      </c>
      <c r="D173" s="14"/>
      <c r="E173" s="14" t="s">
        <v>420</v>
      </c>
      <c r="F173" s="14"/>
      <c r="G173" s="14" t="s">
        <v>749</v>
      </c>
      <c r="H173" s="15"/>
      <c r="I173" s="15">
        <v>105</v>
      </c>
      <c r="K173" s="39">
        <f>IF(INDEX('3. Hardware Options'!$T$6:$T$100,MATCH(T_Brackets[[#This Row],[Description]],'3. Hardware Options'!$Q$6:$Q$100,0))="Show",1,0)</f>
        <v>1</v>
      </c>
      <c r="L173" s="39">
        <f t="shared" si="35"/>
        <v>1</v>
      </c>
      <c r="M173" s="15" cm="1">
        <f t="array" aca="1" ref="M173" ca="1">IFERROR(IF(INDIRECT("o_"&amp;T_Brackets[[#This Row],[Column2]]&amp;"ActualRoll_mm")&lt;T_Brackets[[#This Row],[Max Roll Diameter]],1,0),0)</f>
        <v>0</v>
      </c>
      <c r="N173" s="15" cm="1">
        <f t="array" ref="N173">IFERROR(INDEX($Q173:$AU173,,MATCH(i_Control,$Q$159:$AU$159,0)),0)</f>
        <v>0</v>
      </c>
      <c r="O173" s="39">
        <f t="shared" ca="1" si="36"/>
        <v>0</v>
      </c>
      <c r="P173" s="340"/>
      <c r="Q173" s="15">
        <v>1</v>
      </c>
      <c r="R173" s="15">
        <v>1</v>
      </c>
      <c r="S173" s="15"/>
      <c r="T173" s="15"/>
      <c r="U173" s="15"/>
      <c r="V173" s="15"/>
      <c r="W173" s="15">
        <v>1</v>
      </c>
      <c r="X173" s="15">
        <v>1</v>
      </c>
      <c r="Y173" s="15">
        <v>1</v>
      </c>
      <c r="Z173" s="15"/>
      <c r="AA173" s="15">
        <v>1</v>
      </c>
      <c r="AB173" s="15">
        <v>1</v>
      </c>
      <c r="AC173" s="15">
        <v>1</v>
      </c>
      <c r="AD173" s="15">
        <v>1</v>
      </c>
      <c r="AE173" s="15">
        <v>1</v>
      </c>
      <c r="AF173" s="15">
        <v>1</v>
      </c>
      <c r="AG173" s="15">
        <v>1</v>
      </c>
      <c r="AH173" s="15"/>
      <c r="AI173" s="15">
        <v>1</v>
      </c>
      <c r="AJ173" s="15">
        <v>1</v>
      </c>
      <c r="AK173" s="15">
        <v>1</v>
      </c>
      <c r="AL173" s="15">
        <v>1</v>
      </c>
      <c r="AM173" s="15">
        <v>1</v>
      </c>
      <c r="AN173" s="15">
        <v>1</v>
      </c>
      <c r="AO173" s="15">
        <v>1</v>
      </c>
      <c r="AP173" s="15">
        <v>1</v>
      </c>
      <c r="AQ173" s="15">
        <v>1</v>
      </c>
      <c r="AR173" s="15"/>
      <c r="AS173" s="15"/>
      <c r="AT173" s="15"/>
      <c r="AU173" s="15"/>
      <c r="AV173" s="1"/>
      <c r="AW173" s="1">
        <f t="shared" si="37"/>
        <v>21</v>
      </c>
      <c r="AX173" s="1"/>
      <c r="AY173" s="1"/>
      <c r="AZ173" s="1"/>
      <c r="BA173" s="1"/>
      <c r="BB173" s="1"/>
    </row>
    <row r="174" spans="3:54">
      <c r="C174" s="240" t="s">
        <v>309</v>
      </c>
      <c r="D174" s="14"/>
      <c r="E174" s="14" t="s">
        <v>420</v>
      </c>
      <c r="F174" s="14" t="s">
        <v>546</v>
      </c>
      <c r="G174" s="14" t="s">
        <v>544</v>
      </c>
      <c r="H174" s="15"/>
      <c r="I174" s="23">
        <v>65</v>
      </c>
      <c r="K174" s="39">
        <f>IF(INDEX('3. Hardware Options'!$T$6:$T$100,MATCH(T_Brackets[[#This Row],[Description]],'3. Hardware Options'!$Q$6:$Q$100,0))="Show",1,0)</f>
        <v>1</v>
      </c>
      <c r="L174" s="39">
        <f t="shared" si="35"/>
        <v>1</v>
      </c>
      <c r="M174" s="15" cm="1">
        <f t="array" aca="1" ref="M174" ca="1">IFERROR(IF(INDIRECT("o_"&amp;T_Brackets[[#This Row],[Column2]]&amp;"ActualRoll_mm")&lt;T_Brackets[[#This Row],[Max Roll Diameter]],1,0),0)</f>
        <v>0</v>
      </c>
      <c r="N174" s="15" cm="1">
        <f t="array" ref="N174">IFERROR(INDEX($Q174:$AU174,,MATCH(i_Control,$Q$159:$AU$159,0)),0)</f>
        <v>0</v>
      </c>
      <c r="O174" s="39">
        <f t="shared" ca="1" si="36"/>
        <v>0</v>
      </c>
      <c r="P174" s="340"/>
      <c r="Q174" s="15"/>
      <c r="R174" s="15"/>
      <c r="S174" s="15"/>
      <c r="T174" s="15"/>
      <c r="U174" s="15"/>
      <c r="V174" s="15"/>
      <c r="W174" s="15"/>
      <c r="X174" s="15"/>
      <c r="Y174" s="15"/>
      <c r="Z174" s="15"/>
      <c r="AA174" s="15"/>
      <c r="AB174" s="15">
        <v>1</v>
      </c>
      <c r="AC174" s="15">
        <v>1</v>
      </c>
      <c r="AD174" s="15">
        <v>1</v>
      </c>
      <c r="AE174" s="15">
        <v>1</v>
      </c>
      <c r="AF174" s="15">
        <v>1</v>
      </c>
      <c r="AG174" s="15">
        <v>1</v>
      </c>
      <c r="AH174" s="15"/>
      <c r="AI174" s="15"/>
      <c r="AJ174" s="15"/>
      <c r="AK174" s="15"/>
      <c r="AL174" s="15"/>
      <c r="AM174" s="15">
        <v>1</v>
      </c>
      <c r="AN174" s="15">
        <v>1</v>
      </c>
      <c r="AO174" s="15">
        <v>1</v>
      </c>
      <c r="AP174" s="15"/>
      <c r="AQ174" s="15"/>
      <c r="AR174" s="15"/>
      <c r="AS174" s="15"/>
      <c r="AT174" s="15"/>
      <c r="AU174" s="15"/>
      <c r="AV174" s="1"/>
      <c r="AW174" s="1">
        <f t="shared" si="37"/>
        <v>9</v>
      </c>
      <c r="AX174" s="1"/>
      <c r="AY174" s="1"/>
      <c r="AZ174" s="1"/>
      <c r="BA174" s="1"/>
      <c r="BB174" s="1"/>
    </row>
    <row r="175" spans="3:54">
      <c r="C175" s="240" t="s">
        <v>309</v>
      </c>
      <c r="D175" s="14"/>
      <c r="E175" s="14" t="s">
        <v>420</v>
      </c>
      <c r="F175" s="14" t="s">
        <v>547</v>
      </c>
      <c r="G175" s="14" t="s">
        <v>545</v>
      </c>
      <c r="H175" s="15"/>
      <c r="I175" s="23">
        <v>70</v>
      </c>
      <c r="K175" s="39">
        <f>IF(INDEX('3. Hardware Options'!$T$6:$T$100,MATCH(T_Brackets[[#This Row],[Description]],'3. Hardware Options'!$Q$6:$Q$100,0))="Show",1,0)</f>
        <v>1</v>
      </c>
      <c r="L175" s="39">
        <f t="shared" si="35"/>
        <v>1</v>
      </c>
      <c r="M175" s="15" cm="1">
        <f t="array" aca="1" ref="M175" ca="1">IFERROR(IF(INDIRECT("o_"&amp;T_Brackets[[#This Row],[Column2]]&amp;"ActualRoll_mm")&lt;T_Brackets[[#This Row],[Max Roll Diameter]],1,0),0)</f>
        <v>0</v>
      </c>
      <c r="N175" s="15" cm="1">
        <f t="array" ref="N175">IFERROR(INDEX($Q175:$AU175,,MATCH(i_Control,$Q$159:$AU$159,0)),0)</f>
        <v>0</v>
      </c>
      <c r="O175" s="39">
        <f t="shared" ca="1" si="36"/>
        <v>0</v>
      </c>
      <c r="P175" s="340"/>
      <c r="Q175" s="15"/>
      <c r="R175" s="15"/>
      <c r="S175" s="15"/>
      <c r="T175" s="15"/>
      <c r="U175" s="15"/>
      <c r="V175" s="15"/>
      <c r="W175" s="15"/>
      <c r="X175" s="15"/>
      <c r="Y175" s="15"/>
      <c r="Z175" s="15"/>
      <c r="AA175" s="15"/>
      <c r="AB175" s="15">
        <v>1</v>
      </c>
      <c r="AC175" s="15">
        <v>1</v>
      </c>
      <c r="AD175" s="15">
        <v>1</v>
      </c>
      <c r="AE175" s="15">
        <v>1</v>
      </c>
      <c r="AF175" s="15">
        <v>1</v>
      </c>
      <c r="AG175" s="15">
        <v>1</v>
      </c>
      <c r="AH175" s="15"/>
      <c r="AI175" s="15"/>
      <c r="AJ175" s="15"/>
      <c r="AK175" s="15"/>
      <c r="AL175" s="15"/>
      <c r="AM175" s="15">
        <v>1</v>
      </c>
      <c r="AN175" s="15">
        <v>1</v>
      </c>
      <c r="AO175" s="15">
        <v>1</v>
      </c>
      <c r="AP175" s="15"/>
      <c r="AQ175" s="15"/>
      <c r="AR175" s="15"/>
      <c r="AS175" s="15"/>
      <c r="AT175" s="15"/>
      <c r="AU175" s="15"/>
      <c r="AV175" s="1"/>
      <c r="AW175" s="1">
        <f t="shared" si="37"/>
        <v>9</v>
      </c>
      <c r="AX175" s="1"/>
      <c r="AY175" s="1"/>
      <c r="AZ175" s="1"/>
      <c r="BA175" s="1"/>
      <c r="BB175" s="1"/>
    </row>
    <row r="176" spans="3:54">
      <c r="C176" s="240" t="s">
        <v>309</v>
      </c>
      <c r="D176" s="14"/>
      <c r="E176" s="14" t="s">
        <v>420</v>
      </c>
      <c r="F176" s="14" t="s">
        <v>543</v>
      </c>
      <c r="G176" s="14" t="s">
        <v>553</v>
      </c>
      <c r="H176" s="15"/>
      <c r="I176" s="23">
        <v>70</v>
      </c>
      <c r="K176" s="39">
        <f>IF(INDEX('3. Hardware Options'!$T$6:$T$100,MATCH(T_Brackets[[#This Row],[Description]],'3. Hardware Options'!$Q$6:$Q$100,0))="Show",1,0)</f>
        <v>1</v>
      </c>
      <c r="L176" s="39">
        <f t="shared" si="35"/>
        <v>1</v>
      </c>
      <c r="M176" s="15" cm="1">
        <f t="array" aca="1" ref="M176" ca="1">IFERROR(IF(INDIRECT("o_"&amp;T_Brackets[[#This Row],[Column2]]&amp;"ActualRoll_mm")&lt;T_Brackets[[#This Row],[Max Roll Diameter]],1,0),0)</f>
        <v>0</v>
      </c>
      <c r="N176" s="15" cm="1">
        <f t="array" ref="N176">IFERROR(INDEX($Q176:$AU176,,MATCH(i_Control,$Q$159:$AU$159,0)),0)</f>
        <v>0</v>
      </c>
      <c r="O176" s="39">
        <f t="shared" ca="1" si="36"/>
        <v>0</v>
      </c>
      <c r="P176" s="340"/>
      <c r="Q176" s="15"/>
      <c r="R176" s="15"/>
      <c r="S176" s="15"/>
      <c r="T176" s="15"/>
      <c r="U176" s="15"/>
      <c r="V176" s="15"/>
      <c r="W176" s="15"/>
      <c r="X176" s="15"/>
      <c r="Y176" s="15"/>
      <c r="Z176" s="15"/>
      <c r="AA176" s="15"/>
      <c r="AB176" s="15">
        <v>1</v>
      </c>
      <c r="AC176" s="15">
        <v>1</v>
      </c>
      <c r="AD176" s="15">
        <v>1</v>
      </c>
      <c r="AE176" s="15">
        <v>1</v>
      </c>
      <c r="AF176" s="15">
        <v>1</v>
      </c>
      <c r="AG176" s="15">
        <v>1</v>
      </c>
      <c r="AH176" s="15"/>
      <c r="AI176" s="15"/>
      <c r="AJ176" s="15"/>
      <c r="AK176" s="15"/>
      <c r="AL176" s="15"/>
      <c r="AM176" s="15">
        <v>1</v>
      </c>
      <c r="AN176" s="15">
        <v>1</v>
      </c>
      <c r="AO176" s="15">
        <v>1</v>
      </c>
      <c r="AP176" s="15"/>
      <c r="AQ176" s="15"/>
      <c r="AR176" s="15"/>
      <c r="AS176" s="15"/>
      <c r="AT176" s="15"/>
      <c r="AU176" s="15"/>
      <c r="AV176" s="1"/>
      <c r="AW176" s="1">
        <f t="shared" si="37"/>
        <v>9</v>
      </c>
      <c r="AX176" s="1"/>
      <c r="AY176" s="1"/>
      <c r="AZ176" s="1"/>
      <c r="BA176" s="1"/>
      <c r="BB176" s="1"/>
    </row>
    <row r="177" spans="2:54">
      <c r="C177" s="240" t="s">
        <v>309</v>
      </c>
      <c r="D177" s="14" t="s">
        <v>308</v>
      </c>
      <c r="E177" s="14" t="s">
        <v>266</v>
      </c>
      <c r="F177" s="14"/>
      <c r="G177" s="14" t="s">
        <v>493</v>
      </c>
      <c r="H177" s="15"/>
      <c r="I177" s="15">
        <v>60</v>
      </c>
      <c r="K177" s="39">
        <f>IF(INDEX('3. Hardware Options'!$T$6:$T$100,MATCH(T_Brackets[[#This Row],[Description]],'3. Hardware Options'!$Q$6:$Q$100,0))="Show",1,0)</f>
        <v>1</v>
      </c>
      <c r="L177" s="39">
        <f t="shared" si="35"/>
        <v>0</v>
      </c>
      <c r="M177" s="15" cm="1">
        <f t="array" aca="1" ref="M177" ca="1">IFERROR(IF(INDIRECT("o_"&amp;T_Brackets[[#This Row],[Column2]]&amp;"ActualRoll_mm")&lt;T_Brackets[[#This Row],[Max Roll Diameter]],1,0),0)</f>
        <v>0</v>
      </c>
      <c r="N177" s="15" cm="1">
        <f t="array" ref="N177">IFERROR(INDEX($Q177:$AU177,,MATCH(i_Control,$Q$159:$AU$159,0)),0)</f>
        <v>0</v>
      </c>
      <c r="O177" s="39">
        <f t="shared" ca="1" si="36"/>
        <v>0</v>
      </c>
      <c r="P177" s="340"/>
      <c r="Q177" s="15"/>
      <c r="R177" s="15"/>
      <c r="S177" s="15"/>
      <c r="T177" s="15"/>
      <c r="U177" s="15"/>
      <c r="V177" s="15"/>
      <c r="W177" s="15">
        <v>1</v>
      </c>
      <c r="X177" s="15">
        <v>1</v>
      </c>
      <c r="Y177" s="15">
        <v>1</v>
      </c>
      <c r="Z177" s="15"/>
      <c r="AA177" s="15"/>
      <c r="AB177" s="15"/>
      <c r="AC177" s="15"/>
      <c r="AD177" s="15"/>
      <c r="AE177" s="15"/>
      <c r="AF177" s="15"/>
      <c r="AG177" s="15"/>
      <c r="AH177" s="15"/>
      <c r="AI177" s="15"/>
      <c r="AJ177" s="15"/>
      <c r="AK177" s="15"/>
      <c r="AL177" s="15"/>
      <c r="AM177" s="15">
        <v>1</v>
      </c>
      <c r="AN177" s="15">
        <v>1</v>
      </c>
      <c r="AO177" s="15">
        <v>1</v>
      </c>
      <c r="AP177" s="15"/>
      <c r="AQ177" s="15"/>
      <c r="AR177" s="15"/>
      <c r="AS177" s="15"/>
      <c r="AT177" s="15"/>
      <c r="AU177" s="15"/>
      <c r="AV177" s="1"/>
      <c r="AW177" s="1">
        <f t="shared" si="37"/>
        <v>6</v>
      </c>
      <c r="AX177" s="1"/>
      <c r="AY177" s="1"/>
      <c r="AZ177" s="1"/>
      <c r="BA177" s="1"/>
      <c r="BB177" s="1"/>
    </row>
    <row r="178" spans="2:54">
      <c r="C178" s="240" t="s">
        <v>309</v>
      </c>
      <c r="D178" s="14" t="s">
        <v>308</v>
      </c>
      <c r="E178" s="14" t="s">
        <v>266</v>
      </c>
      <c r="F178" s="14"/>
      <c r="G178" s="14" t="s">
        <v>494</v>
      </c>
      <c r="H178" s="15"/>
      <c r="I178" s="15">
        <v>68</v>
      </c>
      <c r="K178" s="39">
        <f>IF(INDEX('3. Hardware Options'!$T$6:$T$100,MATCH(T_Brackets[[#This Row],[Description]],'3. Hardware Options'!$Q$6:$Q$100,0))="Show",1,0)</f>
        <v>1</v>
      </c>
      <c r="L178" s="39">
        <f t="shared" si="35"/>
        <v>0</v>
      </c>
      <c r="M178" s="15" cm="1">
        <f t="array" aca="1" ref="M178" ca="1">IFERROR(IF(INDIRECT("o_"&amp;T_Brackets[[#This Row],[Column2]]&amp;"ActualRoll_mm")&lt;T_Brackets[[#This Row],[Max Roll Diameter]],1,0),0)</f>
        <v>0</v>
      </c>
      <c r="N178" s="15" cm="1">
        <f t="array" ref="N178">IFERROR(INDEX($Q178:$AU178,,MATCH(i_Control,$Q$159:$AU$159,0)),0)</f>
        <v>0</v>
      </c>
      <c r="O178" s="39">
        <f t="shared" ca="1" si="36"/>
        <v>0</v>
      </c>
      <c r="P178" s="340"/>
      <c r="Q178" s="15"/>
      <c r="R178" s="15"/>
      <c r="S178" s="15"/>
      <c r="T178" s="15"/>
      <c r="U178" s="15"/>
      <c r="V178" s="15"/>
      <c r="W178" s="15">
        <v>1</v>
      </c>
      <c r="X178" s="15">
        <v>1</v>
      </c>
      <c r="Y178" s="15">
        <v>1</v>
      </c>
      <c r="Z178" s="15"/>
      <c r="AA178" s="15"/>
      <c r="AB178" s="15"/>
      <c r="AC178" s="15"/>
      <c r="AD178" s="15"/>
      <c r="AE178" s="15"/>
      <c r="AF178" s="15"/>
      <c r="AG178" s="15"/>
      <c r="AH178" s="15"/>
      <c r="AI178" s="15"/>
      <c r="AJ178" s="15"/>
      <c r="AK178" s="15"/>
      <c r="AL178" s="15"/>
      <c r="AM178" s="15">
        <v>1</v>
      </c>
      <c r="AN178" s="15">
        <v>1</v>
      </c>
      <c r="AO178" s="15">
        <v>1</v>
      </c>
      <c r="AP178" s="15"/>
      <c r="AQ178" s="15"/>
      <c r="AR178" s="15"/>
      <c r="AS178" s="15"/>
      <c r="AT178" s="15"/>
      <c r="AU178" s="15"/>
      <c r="AV178" s="1"/>
      <c r="AW178" s="1">
        <f t="shared" si="37"/>
        <v>6</v>
      </c>
      <c r="AX178" s="1"/>
      <c r="AY178" s="1"/>
      <c r="AZ178" s="1"/>
      <c r="BA178" s="1"/>
      <c r="BB178" s="1"/>
    </row>
    <row r="179" spans="2:54">
      <c r="C179" s="240" t="s">
        <v>309</v>
      </c>
      <c r="D179" s="14" t="s">
        <v>308</v>
      </c>
      <c r="E179" s="14" t="s">
        <v>266</v>
      </c>
      <c r="F179" s="14"/>
      <c r="G179" s="14" t="s">
        <v>495</v>
      </c>
      <c r="H179" s="15"/>
      <c r="I179" s="15">
        <v>76</v>
      </c>
      <c r="K179" s="39">
        <f>IF(INDEX('3. Hardware Options'!$T$6:$T$100,MATCH(T_Brackets[[#This Row],[Description]],'3. Hardware Options'!$Q$6:$Q$100,0))="Show",1,0)</f>
        <v>1</v>
      </c>
      <c r="L179" s="39">
        <f t="shared" si="35"/>
        <v>0</v>
      </c>
      <c r="M179" s="15" cm="1">
        <f t="array" aca="1" ref="M179" ca="1">IFERROR(IF(INDIRECT("o_"&amp;T_Brackets[[#This Row],[Column2]]&amp;"ActualRoll_mm")&lt;T_Brackets[[#This Row],[Max Roll Diameter]],1,0),0)</f>
        <v>0</v>
      </c>
      <c r="N179" s="15" cm="1">
        <f t="array" ref="N179">IFERROR(INDEX($Q179:$AU179,,MATCH(i_Control,$Q$159:$AU$159,0)),0)</f>
        <v>0</v>
      </c>
      <c r="O179" s="39">
        <f t="shared" ca="1" si="36"/>
        <v>0</v>
      </c>
      <c r="P179" s="340"/>
      <c r="Q179" s="15"/>
      <c r="R179" s="15"/>
      <c r="S179" s="15"/>
      <c r="T179" s="15"/>
      <c r="U179" s="15"/>
      <c r="V179" s="15"/>
      <c r="W179" s="15">
        <v>1</v>
      </c>
      <c r="X179" s="15">
        <v>1</v>
      </c>
      <c r="Y179" s="15">
        <v>1</v>
      </c>
      <c r="Z179" s="15"/>
      <c r="AA179" s="15"/>
      <c r="AB179" s="15"/>
      <c r="AC179" s="15"/>
      <c r="AD179" s="15"/>
      <c r="AE179" s="15"/>
      <c r="AF179" s="15"/>
      <c r="AG179" s="15"/>
      <c r="AH179" s="15"/>
      <c r="AI179" s="15"/>
      <c r="AJ179" s="15"/>
      <c r="AK179" s="15"/>
      <c r="AL179" s="15"/>
      <c r="AM179" s="15">
        <v>1</v>
      </c>
      <c r="AN179" s="15">
        <v>1</v>
      </c>
      <c r="AO179" s="15">
        <v>1</v>
      </c>
      <c r="AP179" s="15"/>
      <c r="AQ179" s="15"/>
      <c r="AR179" s="15"/>
      <c r="AS179" s="15"/>
      <c r="AT179" s="15"/>
      <c r="AU179" s="15"/>
      <c r="AV179" s="1"/>
      <c r="AW179" s="1">
        <f t="shared" si="37"/>
        <v>6</v>
      </c>
      <c r="AX179" s="1"/>
      <c r="AY179" s="1"/>
      <c r="AZ179" s="1"/>
      <c r="BA179" s="1"/>
      <c r="BB179" s="1"/>
    </row>
    <row r="180" spans="2:54">
      <c r="C180" s="240" t="s">
        <v>309</v>
      </c>
      <c r="D180" s="14"/>
      <c r="E180" s="14" t="s">
        <v>420</v>
      </c>
      <c r="F180" s="14"/>
      <c r="G180" s="14" t="s">
        <v>491</v>
      </c>
      <c r="H180" s="15"/>
      <c r="I180" s="15">
        <v>104</v>
      </c>
      <c r="K180" s="39">
        <f>IF(INDEX('3. Hardware Options'!$T$6:$T$100,MATCH(T_Brackets[[#This Row],[Description]],'3. Hardware Options'!$Q$6:$Q$100,0))="Show",1,0)</f>
        <v>1</v>
      </c>
      <c r="L180" s="39">
        <f t="shared" si="35"/>
        <v>1</v>
      </c>
      <c r="M180" s="15" cm="1">
        <f t="array" aca="1" ref="M180" ca="1">IFERROR(IF(INDIRECT("o_"&amp;T_Brackets[[#This Row],[Column2]]&amp;"ActualRoll_mm")&lt;T_Brackets[[#This Row],[Max Roll Diameter]],1,0),0)</f>
        <v>0</v>
      </c>
      <c r="N180" s="15" cm="1">
        <f t="array" ref="N180">IFERROR(INDEX($Q180:$AU180,,MATCH(i_Control,$Q$159:$AU$159,0)),0)</f>
        <v>0</v>
      </c>
      <c r="O180" s="39">
        <f t="shared" ca="1" si="36"/>
        <v>0</v>
      </c>
      <c r="P180" s="340"/>
      <c r="Q180" s="15"/>
      <c r="R180" s="15"/>
      <c r="S180" s="15"/>
      <c r="T180" s="15"/>
      <c r="U180" s="15"/>
      <c r="V180" s="15"/>
      <c r="W180" s="15"/>
      <c r="X180" s="15"/>
      <c r="Y180" s="15"/>
      <c r="Z180" s="15"/>
      <c r="AA180" s="15"/>
      <c r="AB180" s="15"/>
      <c r="AC180" s="15"/>
      <c r="AD180" s="15"/>
      <c r="AE180" s="15"/>
      <c r="AF180" s="15"/>
      <c r="AG180" s="15"/>
      <c r="AH180" s="15">
        <v>1</v>
      </c>
      <c r="AI180" s="15"/>
      <c r="AJ180" s="15"/>
      <c r="AK180" s="15"/>
      <c r="AL180" s="15"/>
      <c r="AM180" s="15"/>
      <c r="AN180" s="15"/>
      <c r="AO180" s="15"/>
      <c r="AP180" s="15">
        <v>1</v>
      </c>
      <c r="AQ180" s="15">
        <v>1</v>
      </c>
      <c r="AR180" s="15">
        <v>1</v>
      </c>
      <c r="AS180" s="516">
        <f>IFERROR(IF(FIND("63 STD",i_Tube)&gt;0,0,1),1)</f>
        <v>1</v>
      </c>
      <c r="AT180" s="15"/>
      <c r="AU180" s="15"/>
      <c r="AV180" s="1"/>
      <c r="AW180" s="1">
        <f t="shared" si="37"/>
        <v>5</v>
      </c>
      <c r="AX180" s="1"/>
      <c r="AY180" s="1"/>
      <c r="AZ180" s="1"/>
      <c r="BA180" s="1"/>
      <c r="BB180" s="1"/>
    </row>
    <row r="181" spans="2:54">
      <c r="C181" s="240" t="s">
        <v>309</v>
      </c>
      <c r="D181" s="14"/>
      <c r="E181" s="14" t="s">
        <v>420</v>
      </c>
      <c r="F181" s="14"/>
      <c r="G181" s="14" t="s">
        <v>492</v>
      </c>
      <c r="H181" s="15"/>
      <c r="I181" s="15">
        <v>168</v>
      </c>
      <c r="K181" s="39">
        <f>IF(INDEX('3. Hardware Options'!$T$6:$T$100,MATCH(T_Brackets[[#This Row],[Description]],'3. Hardware Options'!$Q$6:$Q$100,0))="Show",1,0)</f>
        <v>1</v>
      </c>
      <c r="L181" s="39">
        <f t="shared" si="35"/>
        <v>1</v>
      </c>
      <c r="M181" s="15" cm="1">
        <f t="array" aca="1" ref="M181" ca="1">IFERROR(IF(INDIRECT("o_"&amp;T_Brackets[[#This Row],[Column2]]&amp;"ActualRoll_mm")&lt;T_Brackets[[#This Row],[Max Roll Diameter]],1,0),0)</f>
        <v>0</v>
      </c>
      <c r="N181" s="15" cm="1">
        <f t="array" ref="N181">IFERROR(INDEX($Q181:$AU181,,MATCH(i_Control,$Q$159:$AU$159,0)),0)</f>
        <v>0</v>
      </c>
      <c r="O181" s="39">
        <f t="shared" ca="1" si="36"/>
        <v>0</v>
      </c>
      <c r="P181" s="340"/>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v>1</v>
      </c>
      <c r="AQ181" s="15">
        <v>1</v>
      </c>
      <c r="AR181" s="15">
        <v>1</v>
      </c>
      <c r="AS181" s="516">
        <f>IFERROR(IF(FIND("63 STD",i_Tube)&gt;0,0,1),1)</f>
        <v>1</v>
      </c>
      <c r="AT181" s="15"/>
      <c r="AU181" s="15"/>
      <c r="AV181" s="1"/>
      <c r="AW181" s="1">
        <f t="shared" si="37"/>
        <v>4</v>
      </c>
      <c r="AX181" s="1"/>
      <c r="AY181" s="1"/>
      <c r="AZ181" s="1"/>
      <c r="BA181" s="1"/>
      <c r="BB181" s="1"/>
    </row>
    <row r="182" spans="2:54">
      <c r="C182" s="240" t="s">
        <v>309</v>
      </c>
      <c r="D182" s="14"/>
      <c r="E182" s="14" t="s">
        <v>420</v>
      </c>
      <c r="F182" s="14" t="s">
        <v>321</v>
      </c>
      <c r="G182" s="14" t="s">
        <v>413</v>
      </c>
      <c r="H182" s="15"/>
      <c r="I182" s="15">
        <v>90</v>
      </c>
      <c r="K182" s="39">
        <f>IF(INDEX('3. Hardware Options'!$T$6:$T$100,MATCH(T_Brackets[[#This Row],[Description]],'3. Hardware Options'!$Q$6:$Q$100,0))="Show",1,0)</f>
        <v>1</v>
      </c>
      <c r="L182" s="39">
        <f>IF(i_Region="Global",1,IF(OR(i_Region=E182,E182="Global"),1,0))</f>
        <v>1</v>
      </c>
      <c r="M182" s="15" cm="1">
        <f t="array" aca="1" ref="M182" ca="1">IFERROR(IF(INDIRECT("o_"&amp;T_Brackets[[#This Row],[Column2]]&amp;"ActualRoll_mm")&lt;T_Brackets[[#This Row],[Max Roll Diameter]],1,0),0)</f>
        <v>0</v>
      </c>
      <c r="N182" s="15" cm="1">
        <f t="array" ref="N182">IFERROR(INDEX($Q182:$AU182,,MATCH(i_Control,$Q$159:$AU$159,0)),0)</f>
        <v>0</v>
      </c>
      <c r="O182" s="39">
        <f ca="1">IF(AND(K182&lt;&gt;0,SheetStatus="Release - FFA"),1,SUMPRODUCT(M182,N182,K182,L182))</f>
        <v>0</v>
      </c>
      <c r="P182" s="340"/>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v>1</v>
      </c>
      <c r="AQ182" s="15">
        <v>1</v>
      </c>
      <c r="AR182" s="15">
        <v>1</v>
      </c>
      <c r="AS182" s="516">
        <f>IFERROR(IF(FIND("63 STD",i_Tube)&gt;0,0,1),1)</f>
        <v>1</v>
      </c>
      <c r="AT182" s="15"/>
      <c r="AU182" s="15"/>
      <c r="AV182" s="1"/>
      <c r="AW182" s="1">
        <f t="shared" si="37"/>
        <v>4</v>
      </c>
      <c r="AX182" s="1"/>
      <c r="AY182" s="1"/>
      <c r="AZ182" s="1"/>
      <c r="BA182" s="1"/>
      <c r="BB182" s="1"/>
    </row>
    <row r="183" spans="2:54">
      <c r="B183"/>
      <c r="C183" s="240" t="s">
        <v>309</v>
      </c>
      <c r="D183" s="14"/>
      <c r="E183" s="14" t="s">
        <v>266</v>
      </c>
      <c r="F183" s="14"/>
      <c r="G183" s="14" t="s">
        <v>1095</v>
      </c>
      <c r="H183" s="15"/>
      <c r="I183" s="23">
        <v>76</v>
      </c>
      <c r="K183" s="39">
        <f>IF(INDEX('3. Hardware Options'!$T$6:$T$100,MATCH(T_Brackets[[#This Row],[Description]],'3. Hardware Options'!$Q$6:$Q$100,0))="Show",1,0)</f>
        <v>1</v>
      </c>
      <c r="L183" s="39">
        <f t="shared" ref="L183" si="39">IF(i_Region="Global",1,IF(OR(i_Region=E183,E183="Global"),1,0))</f>
        <v>0</v>
      </c>
      <c r="M183" s="15" cm="1">
        <f t="array" aca="1" ref="M183" ca="1">IFERROR(IF(INDIRECT("o_"&amp;T_Brackets[[#This Row],[Column2]]&amp;"ActualRoll_mm")&lt;T_Brackets[[#This Row],[Max Roll Diameter]],1,0),0)</f>
        <v>0</v>
      </c>
      <c r="N183" s="15" cm="1">
        <f t="array" ref="N183">IFERROR(INDEX($Q183:$AU183,,MATCH(i_Control,$Q$159:$AU$159,0)),0)</f>
        <v>0</v>
      </c>
      <c r="O183" s="39">
        <f t="shared" ref="O183" ca="1" si="40">IF(AND(K183&lt;&gt;0,SheetStatus="Release - FFA"),1,SUMPRODUCT(M183,N183,K183,L183))</f>
        <v>0</v>
      </c>
      <c r="P183" s="340"/>
      <c r="Q183" s="15">
        <v>1</v>
      </c>
      <c r="R183" s="15"/>
      <c r="S183" s="15"/>
      <c r="T183" s="15"/>
      <c r="U183" s="15"/>
      <c r="V183" s="15"/>
      <c r="W183" s="15">
        <v>1</v>
      </c>
      <c r="X183" s="15">
        <v>1</v>
      </c>
      <c r="Y183" s="15">
        <v>1</v>
      </c>
      <c r="Z183" s="15">
        <v>1</v>
      </c>
      <c r="AA183" s="15">
        <v>1</v>
      </c>
      <c r="AB183" s="15">
        <v>1</v>
      </c>
      <c r="AC183" s="15">
        <v>1</v>
      </c>
      <c r="AD183" s="15">
        <v>1</v>
      </c>
      <c r="AE183" s="15">
        <v>1</v>
      </c>
      <c r="AF183" s="15">
        <v>1</v>
      </c>
      <c r="AG183" s="15">
        <v>1</v>
      </c>
      <c r="AH183" s="15"/>
      <c r="AI183" s="15">
        <v>1</v>
      </c>
      <c r="AJ183" s="15">
        <v>1</v>
      </c>
      <c r="AK183" s="15">
        <v>1</v>
      </c>
      <c r="AL183" s="15">
        <v>1</v>
      </c>
      <c r="AM183" s="15">
        <v>1</v>
      </c>
      <c r="AN183" s="15">
        <v>1</v>
      </c>
      <c r="AO183" s="15">
        <v>1</v>
      </c>
      <c r="AP183" s="15">
        <v>1</v>
      </c>
      <c r="AQ183" s="15">
        <v>1</v>
      </c>
      <c r="AR183" s="15"/>
      <c r="AS183" s="15"/>
      <c r="AT183" s="15"/>
      <c r="AU183" s="15"/>
      <c r="AV183" s="1"/>
      <c r="AW183" s="1">
        <f t="shared" si="37"/>
        <v>21</v>
      </c>
      <c r="AX183" s="1"/>
      <c r="AY183" s="1"/>
      <c r="AZ183" s="1"/>
      <c r="BA183" s="1"/>
      <c r="BB183" s="1"/>
    </row>
    <row r="184" spans="2:54">
      <c r="B184"/>
      <c r="C184" s="240" t="s">
        <v>309</v>
      </c>
      <c r="D184" s="14"/>
      <c r="E184" s="14" t="s">
        <v>420</v>
      </c>
      <c r="F184" s="14" t="s">
        <v>690</v>
      </c>
      <c r="G184" s="14" t="s">
        <v>688</v>
      </c>
      <c r="H184" s="15"/>
      <c r="I184" s="23">
        <v>130</v>
      </c>
      <c r="K184" s="39">
        <f>IF(INDEX('3. Hardware Options'!$T$6:$T$100,MATCH(T_Brackets[[#This Row],[Description]],'3. Hardware Options'!$Q$6:$Q$100,0))="Show",1,0)</f>
        <v>1</v>
      </c>
      <c r="L184" s="39">
        <f t="shared" si="35"/>
        <v>1</v>
      </c>
      <c r="M184" s="15" cm="1">
        <f t="array" aca="1" ref="M184" ca="1">IFERROR(IF(INDIRECT("o_"&amp;T_Brackets[[#This Row],[Column2]]&amp;"ActualRoll_mm")&lt;T_Brackets[[#This Row],[Max Roll Diameter]],1,0),0)</f>
        <v>0</v>
      </c>
      <c r="N184" s="15" cm="1">
        <f t="array" ref="N184">IFERROR(INDEX($Q184:$AU184,,MATCH(i_Control,$Q$159:$AU$159,0)),0)</f>
        <v>0</v>
      </c>
      <c r="O184" s="39">
        <f t="shared" ca="1" si="36"/>
        <v>0</v>
      </c>
      <c r="P184" s="340"/>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516">
        <f t="shared" ref="AR184:AS187" si="41">IFERROR(IF(FIND("S60",i_Tube)&gt;0,0,1),1)</f>
        <v>1</v>
      </c>
      <c r="AS184" s="516">
        <f t="shared" si="41"/>
        <v>1</v>
      </c>
      <c r="AT184" s="15"/>
      <c r="AU184" s="15"/>
      <c r="AV184" s="1"/>
      <c r="AW184" s="1">
        <f t="shared" si="37"/>
        <v>2</v>
      </c>
      <c r="AX184" s="1"/>
      <c r="AY184" s="1"/>
      <c r="AZ184" s="1"/>
      <c r="BA184" s="1"/>
      <c r="BB184" s="1"/>
    </row>
    <row r="185" spans="2:54">
      <c r="B185"/>
      <c r="C185" s="240" t="s">
        <v>309</v>
      </c>
      <c r="D185" s="14"/>
      <c r="E185" s="14" t="s">
        <v>420</v>
      </c>
      <c r="F185" s="14" t="s">
        <v>691</v>
      </c>
      <c r="G185" s="14" t="s">
        <v>689</v>
      </c>
      <c r="H185" s="15"/>
      <c r="I185" s="23">
        <v>130</v>
      </c>
      <c r="K185" s="39">
        <f>IF(INDEX('3. Hardware Options'!$T$6:$T$100,MATCH(T_Brackets[[#This Row],[Description]],'3. Hardware Options'!$Q$6:$Q$100,0))="Show",1,0)</f>
        <v>1</v>
      </c>
      <c r="L185" s="39">
        <f t="shared" si="35"/>
        <v>1</v>
      </c>
      <c r="M185" s="15" cm="1">
        <f t="array" aca="1" ref="M185" ca="1">IFERROR(IF(INDIRECT("o_"&amp;T_Brackets[[#This Row],[Column2]]&amp;"ActualRoll_mm")&lt;T_Brackets[[#This Row],[Max Roll Diameter]],1,0),0)</f>
        <v>0</v>
      </c>
      <c r="N185" s="15" cm="1">
        <f t="array" ref="N185">IFERROR(INDEX($Q185:$AU185,,MATCH(i_Control,$Q$159:$AU$159,0)),0)</f>
        <v>0</v>
      </c>
      <c r="O185" s="39">
        <f t="shared" ca="1" si="36"/>
        <v>0</v>
      </c>
      <c r="P185" s="340"/>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516">
        <f t="shared" si="41"/>
        <v>1</v>
      </c>
      <c r="AS185" s="516">
        <f t="shared" si="41"/>
        <v>1</v>
      </c>
      <c r="AT185" s="15"/>
      <c r="AU185" s="15"/>
      <c r="AV185" s="1"/>
      <c r="AW185" s="1">
        <f t="shared" si="37"/>
        <v>2</v>
      </c>
      <c r="AX185" s="1"/>
      <c r="AY185" s="1"/>
      <c r="AZ185" s="1"/>
      <c r="BA185" s="1"/>
      <c r="BB185" s="1"/>
    </row>
    <row r="186" spans="2:54">
      <c r="B186"/>
      <c r="C186" s="240" t="s">
        <v>320</v>
      </c>
      <c r="D186" s="14"/>
      <c r="E186" s="14" t="s">
        <v>420</v>
      </c>
      <c r="F186" s="14" t="s">
        <v>686</v>
      </c>
      <c r="G186" s="14" t="s">
        <v>687</v>
      </c>
      <c r="H186" s="15"/>
      <c r="I186" s="23">
        <v>110</v>
      </c>
      <c r="K186" s="39">
        <f>IF(INDEX('3. Hardware Options'!$T$6:$T$100,MATCH(T_Brackets[[#This Row],[Description]],'3. Hardware Options'!$Q$6:$Q$100,0))="Show",1,0)</f>
        <v>1</v>
      </c>
      <c r="L186" s="39">
        <f t="shared" si="35"/>
        <v>1</v>
      </c>
      <c r="M186" s="15" cm="1">
        <f t="array" aca="1" ref="M186" ca="1">IFERROR(IF(INDIRECT("o_"&amp;T_Brackets[[#This Row],[Column2]]&amp;"ActualRoll_mm")&lt;T_Brackets[[#This Row],[Max Roll Diameter]],1,0),0)</f>
        <v>0</v>
      </c>
      <c r="N186" s="15" cm="1">
        <f t="array" ref="N186">IFERROR(INDEX($Q186:$AU186,,MATCH(i_Control,$Q$159:$AU$159,0)),0)</f>
        <v>0</v>
      </c>
      <c r="O186" s="39">
        <f t="shared" ca="1" si="36"/>
        <v>0</v>
      </c>
      <c r="P186" s="340"/>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516">
        <f t="shared" si="41"/>
        <v>1</v>
      </c>
      <c r="AS186" s="516">
        <f t="shared" si="41"/>
        <v>1</v>
      </c>
      <c r="AT186" s="15"/>
      <c r="AU186" s="15"/>
      <c r="AV186" s="1"/>
      <c r="AW186" s="1">
        <f t="shared" si="37"/>
        <v>2</v>
      </c>
      <c r="AX186" s="1"/>
      <c r="AY186" s="1"/>
      <c r="AZ186" s="1"/>
      <c r="BA186" s="1"/>
      <c r="BB186" s="1"/>
    </row>
    <row r="187" spans="2:54">
      <c r="B187"/>
      <c r="C187" s="240" t="s">
        <v>320</v>
      </c>
      <c r="D187" s="14"/>
      <c r="E187" s="14" t="s">
        <v>420</v>
      </c>
      <c r="F187" s="14" t="s">
        <v>1089</v>
      </c>
      <c r="G187" s="14" t="s">
        <v>1090</v>
      </c>
      <c r="H187" s="15"/>
      <c r="I187" s="23">
        <v>136</v>
      </c>
      <c r="K187" s="39">
        <f>IF(INDEX('3. Hardware Options'!$T$6:$T$100,MATCH(T_Brackets[[#This Row],[Description]],'3. Hardware Options'!$Q$6:$Q$100,0))="Show",1,0)</f>
        <v>1</v>
      </c>
      <c r="L187" s="39">
        <f t="shared" ref="L187" si="42">IF(i_Region="Global",1,IF(OR(i_Region=E187,E187="Global"),1,0))</f>
        <v>1</v>
      </c>
      <c r="M187" s="15" cm="1">
        <f t="array" aca="1" ref="M187" ca="1">IFERROR(IF(INDIRECT("o_"&amp;T_Brackets[[#This Row],[Column2]]&amp;"ActualRoll_mm")&lt;T_Brackets[[#This Row],[Max Roll Diameter]],1,0),0)</f>
        <v>0</v>
      </c>
      <c r="N187" s="15" cm="1">
        <f t="array" ref="N187">IFERROR(INDEX($Q187:$AU187,,MATCH(i_Control,$Q$159:$AU$159,0)),0)</f>
        <v>0</v>
      </c>
      <c r="O187" s="39">
        <f t="shared" ref="O187" ca="1" si="43">IF(AND(K187&lt;&gt;0,SheetStatus="Release - FFA"),1,SUMPRODUCT(M187,N187,K187,L187))</f>
        <v>0</v>
      </c>
      <c r="P187" s="340"/>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516">
        <f t="shared" si="41"/>
        <v>1</v>
      </c>
      <c r="AS187" s="516">
        <f t="shared" si="41"/>
        <v>1</v>
      </c>
      <c r="AT187" s="15">
        <v>1</v>
      </c>
      <c r="AU187" s="15">
        <v>1</v>
      </c>
      <c r="AV187" s="1"/>
      <c r="AW187" s="1">
        <f t="shared" si="37"/>
        <v>4</v>
      </c>
      <c r="AX187" s="1"/>
      <c r="AY187" s="1"/>
      <c r="AZ187" s="1"/>
      <c r="BA187" s="1"/>
      <c r="BB187" s="1"/>
    </row>
    <row r="188" spans="2:54">
      <c r="C188" s="240" t="s">
        <v>320</v>
      </c>
      <c r="D188" s="14"/>
      <c r="E188" s="14" t="s">
        <v>420</v>
      </c>
      <c r="F188" s="14" t="s">
        <v>527</v>
      </c>
      <c r="G188" s="14" t="s">
        <v>1091</v>
      </c>
      <c r="H188" s="15"/>
      <c r="I188" s="23">
        <v>155</v>
      </c>
      <c r="K188" s="39">
        <f>IF(INDEX('3. Hardware Options'!$T$6:$T$100,MATCH(T_Brackets[[#This Row],[Description]],'3. Hardware Options'!$Q$6:$Q$100,0))="Show",1,0)</f>
        <v>1</v>
      </c>
      <c r="L188" s="39">
        <f t="shared" si="35"/>
        <v>1</v>
      </c>
      <c r="M188" s="15" cm="1">
        <f t="array" aca="1" ref="M188" ca="1">IFERROR(IF(INDIRECT("o_"&amp;T_Brackets[[#This Row],[Column2]]&amp;"ActualRoll_mm")&lt;T_Brackets[[#This Row],[Max Roll Diameter]],1,0),0)</f>
        <v>0</v>
      </c>
      <c r="N188" s="15" cm="1">
        <f t="array" ref="N188">IFERROR(INDEX($Q188:$AU188,,MATCH(i_Control,$Q$159:$AU$159,0)),0)</f>
        <v>0</v>
      </c>
      <c r="O188" s="39">
        <f t="shared" ca="1" si="36"/>
        <v>0</v>
      </c>
      <c r="P188" s="340"/>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v>1</v>
      </c>
      <c r="AU188" s="15">
        <v>1</v>
      </c>
      <c r="AV188" s="1"/>
      <c r="AW188" s="1">
        <f t="shared" si="37"/>
        <v>2</v>
      </c>
      <c r="AX188" s="1"/>
      <c r="AY188" s="1"/>
      <c r="AZ188" s="1"/>
      <c r="BA188" s="1"/>
      <c r="BB188" s="1"/>
    </row>
    <row r="189" spans="2:54">
      <c r="B189"/>
      <c r="C189" s="240" t="s">
        <v>309</v>
      </c>
      <c r="D189" s="14"/>
      <c r="E189" s="14" t="s">
        <v>420</v>
      </c>
      <c r="F189" s="14" t="s">
        <v>322</v>
      </c>
      <c r="G189" s="14" t="s">
        <v>1093</v>
      </c>
      <c r="H189" s="15"/>
      <c r="I189" s="15">
        <v>180</v>
      </c>
      <c r="K189" s="39">
        <f>IF(INDEX('3. Hardware Options'!$T$6:$T$100,MATCH(T_Brackets[[#This Row],[Description]],'3. Hardware Options'!$Q$6:$Q$100,0))="Show",1,0)</f>
        <v>1</v>
      </c>
      <c r="L189" s="39">
        <f>IF(i_Region="Global",1,IF(OR(i_Region=E189,E189="Global"),1,0))</f>
        <v>1</v>
      </c>
      <c r="M189" s="15" cm="1">
        <f t="array" aca="1" ref="M189" ca="1">IFERROR(IF(INDIRECT("o_"&amp;T_Brackets[[#This Row],[Column2]]&amp;"ActualRoll_mm")&lt;T_Brackets[[#This Row],[Max Roll Diameter]],1,0),0)</f>
        <v>0</v>
      </c>
      <c r="N189" s="15" cm="1">
        <f t="array" ref="N189">IFERROR(INDEX($Q189:$AU189,,MATCH(i_Control,$Q$159:$AU$159,0)),0)</f>
        <v>0</v>
      </c>
      <c r="O189" s="39">
        <f ca="1">IF(AND(K189&lt;&gt;0,SheetStatus="Release - FFA"),1,SUMPRODUCT(M189,N189,K189,L189))</f>
        <v>0</v>
      </c>
      <c r="P189" s="340"/>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v>1</v>
      </c>
      <c r="AU189" s="15">
        <v>1</v>
      </c>
      <c r="AV189" s="1"/>
      <c r="AW189" s="1">
        <f t="shared" si="37"/>
        <v>2</v>
      </c>
      <c r="AX189" s="1"/>
      <c r="AY189" s="1"/>
      <c r="AZ189" s="1"/>
      <c r="BA189" s="1"/>
      <c r="BB189" s="1"/>
    </row>
    <row r="190" spans="2:54">
      <c r="B190"/>
      <c r="C190" s="240" t="s">
        <v>309</v>
      </c>
      <c r="D190" s="14"/>
      <c r="E190" s="14" t="s">
        <v>420</v>
      </c>
      <c r="F190" s="14" t="s">
        <v>323</v>
      </c>
      <c r="G190" s="14" t="s">
        <v>1094</v>
      </c>
      <c r="H190" s="15"/>
      <c r="I190" s="15">
        <v>190</v>
      </c>
      <c r="K190" s="39">
        <f>IF(INDEX('3. Hardware Options'!$T$6:$T$100,MATCH(T_Brackets[[#This Row],[Description]],'3. Hardware Options'!$Q$6:$Q$100,0))="Show",1,0)</f>
        <v>1</v>
      </c>
      <c r="L190" s="39">
        <f>IF(i_Region="Global",1,IF(OR(i_Region=E190,E190="Global"),1,0))</f>
        <v>1</v>
      </c>
      <c r="M190" s="15" cm="1">
        <f t="array" aca="1" ref="M190" ca="1">IFERROR(IF(INDIRECT("o_"&amp;T_Brackets[[#This Row],[Column2]]&amp;"ActualRoll_mm")&lt;T_Brackets[[#This Row],[Max Roll Diameter]],1,0),0)</f>
        <v>0</v>
      </c>
      <c r="N190" s="15" cm="1">
        <f t="array" ref="N190">IFERROR(INDEX($Q190:$AU190,,MATCH(i_Control,$Q$159:$AU$159,0)),0)</f>
        <v>0</v>
      </c>
      <c r="O190" s="39">
        <f ca="1">IF(AND(K190&lt;&gt;0,SheetStatus="Release - FFA"),1,SUMPRODUCT(M190,N190,K190,L190))</f>
        <v>0</v>
      </c>
      <c r="P190" s="340"/>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v>1</v>
      </c>
      <c r="AU190" s="15">
        <v>1</v>
      </c>
      <c r="AV190" s="1"/>
      <c r="AW190" s="1">
        <f t="shared" si="37"/>
        <v>2</v>
      </c>
      <c r="AX190" s="1"/>
      <c r="AY190" s="1"/>
      <c r="AZ190" s="1"/>
      <c r="BA190" s="1"/>
      <c r="BB190" s="1"/>
    </row>
    <row r="191" spans="2:54">
      <c r="B191"/>
      <c r="C191" s="240" t="s">
        <v>320</v>
      </c>
      <c r="D191" s="14"/>
      <c r="E191" s="14" t="s">
        <v>420</v>
      </c>
      <c r="F191" s="14" t="s">
        <v>835</v>
      </c>
      <c r="G191" s="14" t="s">
        <v>1092</v>
      </c>
      <c r="H191" s="15"/>
      <c r="I191" s="23">
        <v>170</v>
      </c>
      <c r="K191" s="39">
        <f>IF(INDEX('3. Hardware Options'!$T$6:$T$100,MATCH(T_Brackets[[#This Row],[Description]],'3. Hardware Options'!$Q$6:$Q$100,0))="Show",1,0)</f>
        <v>1</v>
      </c>
      <c r="L191" s="39">
        <f>IF(i_Region="Global",1,IF(OR(i_Region=E191,E191="Global"),1,0))</f>
        <v>1</v>
      </c>
      <c r="M191" s="15" cm="1">
        <f t="array" aca="1" ref="M191" ca="1">IFERROR(IF(INDIRECT("o_"&amp;T_Brackets[[#This Row],[Column2]]&amp;"ActualRoll_mm")&lt;T_Brackets[[#This Row],[Max Roll Diameter]],1,0),0)</f>
        <v>0</v>
      </c>
      <c r="N191" s="15" cm="1">
        <f t="array" ref="N191">IFERROR(INDEX($Q191:$AU191,,MATCH(i_Control,$Q$159:$AU$159,0)),0)</f>
        <v>0</v>
      </c>
      <c r="O191" s="39">
        <f ca="1">IF(AND(K191&lt;&gt;0,SheetStatus="Release - FFA"),1,SUMPRODUCT(M191,N191,K191,L191))</f>
        <v>0</v>
      </c>
      <c r="P191" s="340"/>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v>1</v>
      </c>
      <c r="AU191" s="15">
        <v>1</v>
      </c>
      <c r="AV191" s="1"/>
      <c r="AW191" s="1">
        <f t="shared" si="37"/>
        <v>2</v>
      </c>
      <c r="AX191" s="1"/>
      <c r="AY191" s="1"/>
      <c r="AZ191" s="1"/>
      <c r="BA191" s="1"/>
      <c r="BB191" s="1"/>
    </row>
    <row r="192" spans="2:54">
      <c r="B192"/>
      <c r="C192" s="240" t="s">
        <v>320</v>
      </c>
      <c r="D192" s="14"/>
      <c r="E192" s="14" t="s">
        <v>266</v>
      </c>
      <c r="F192" s="14"/>
      <c r="G192" s="14" t="s">
        <v>295</v>
      </c>
      <c r="H192" s="15"/>
      <c r="I192" s="15">
        <v>41</v>
      </c>
      <c r="K192" s="39">
        <f>IF(INDEX('3. Hardware Options'!$T$6:$T$100,MATCH(T_Brackets[[#This Row],[Description]],'3. Hardware Options'!$Q$6:$Q$100,0))="Show",1,0)</f>
        <v>1</v>
      </c>
      <c r="L192" s="39">
        <f t="shared" si="35"/>
        <v>0</v>
      </c>
      <c r="M192" s="15" cm="1">
        <f t="array" aca="1" ref="M192" ca="1">IFERROR(IF(INDIRECT("o_"&amp;T_Brackets[[#This Row],[Column2]]&amp;"ActualRoll_mm")&lt;T_Brackets[[#This Row],[Max Roll Diameter]],1,0),0)</f>
        <v>0</v>
      </c>
      <c r="N192" s="15" cm="1">
        <f t="array" ref="N192">IFERROR(INDEX($Q192:$AU192,,MATCH(i_Control,$Q$159:$AU$159,0)),0)</f>
        <v>0</v>
      </c>
      <c r="O192" s="39">
        <f t="shared" ca="1" si="36"/>
        <v>0</v>
      </c>
      <c r="P192" s="340"/>
      <c r="Q192" s="15"/>
      <c r="R192" s="15"/>
      <c r="S192" s="15">
        <v>1</v>
      </c>
      <c r="T192" s="15">
        <v>1</v>
      </c>
      <c r="U192" s="15"/>
      <c r="V192" s="15"/>
      <c r="W192" s="15">
        <v>1</v>
      </c>
      <c r="X192" s="15">
        <v>1</v>
      </c>
      <c r="Y192" s="15">
        <v>1</v>
      </c>
      <c r="Z192" s="15"/>
      <c r="AA192" s="15"/>
      <c r="AB192" s="15"/>
      <c r="AC192" s="15"/>
      <c r="AD192" s="15"/>
      <c r="AE192" s="15"/>
      <c r="AF192" s="15"/>
      <c r="AG192" s="15"/>
      <c r="AH192" s="15"/>
      <c r="AI192" s="15">
        <v>1</v>
      </c>
      <c r="AJ192" s="15"/>
      <c r="AK192" s="15"/>
      <c r="AL192" s="15"/>
      <c r="AM192" s="15">
        <v>1</v>
      </c>
      <c r="AN192" s="15">
        <v>1</v>
      </c>
      <c r="AO192" s="15"/>
      <c r="AP192" s="15"/>
      <c r="AQ192" s="15"/>
      <c r="AR192" s="15"/>
      <c r="AS192" s="15"/>
      <c r="AT192" s="15"/>
      <c r="AU192" s="15"/>
      <c r="AV192" s="1"/>
      <c r="AW192" s="1">
        <f t="shared" si="37"/>
        <v>8</v>
      </c>
      <c r="AX192" s="1"/>
      <c r="AY192" s="1"/>
      <c r="AZ192" s="1"/>
      <c r="BA192" s="1"/>
      <c r="BB192" s="1"/>
    </row>
    <row r="193" spans="2:54">
      <c r="B193"/>
      <c r="C193" s="240" t="s">
        <v>320</v>
      </c>
      <c r="D193" s="14"/>
      <c r="E193" s="14" t="s">
        <v>266</v>
      </c>
      <c r="F193" s="14"/>
      <c r="G193" s="14" t="s">
        <v>296</v>
      </c>
      <c r="H193" s="15"/>
      <c r="I193" s="15">
        <v>64</v>
      </c>
      <c r="K193" s="39">
        <f>IF(INDEX('3. Hardware Options'!$T$6:$T$100,MATCH(T_Brackets[[#This Row],[Description]],'3. Hardware Options'!$Q$6:$Q$100,0))="Show",1,0)</f>
        <v>1</v>
      </c>
      <c r="L193" s="39">
        <f t="shared" si="35"/>
        <v>0</v>
      </c>
      <c r="M193" s="15" cm="1">
        <f t="array" aca="1" ref="M193" ca="1">IFERROR(IF(INDIRECT("o_"&amp;T_Brackets[[#This Row],[Column2]]&amp;"ActualRoll_mm")&lt;T_Brackets[[#This Row],[Max Roll Diameter]],1,0),0)</f>
        <v>0</v>
      </c>
      <c r="N193" s="15" cm="1">
        <f t="array" ref="N193">IFERROR(INDEX($Q193:$AU193,,MATCH(i_Control,$Q$159:$AU$159,0)),0)</f>
        <v>0</v>
      </c>
      <c r="O193" s="39">
        <f t="shared" ca="1" si="36"/>
        <v>0</v>
      </c>
      <c r="P193" s="340"/>
      <c r="Q193" s="15">
        <v>1</v>
      </c>
      <c r="R193" s="15"/>
      <c r="S193" s="15"/>
      <c r="T193" s="15">
        <v>1</v>
      </c>
      <c r="U193" s="15">
        <v>1</v>
      </c>
      <c r="V193" s="15"/>
      <c r="W193" s="15">
        <v>1</v>
      </c>
      <c r="X193" s="15">
        <v>1</v>
      </c>
      <c r="Y193" s="15">
        <v>1</v>
      </c>
      <c r="Z193" s="15"/>
      <c r="AA193" s="15"/>
      <c r="AB193" s="15"/>
      <c r="AC193" s="15"/>
      <c r="AD193" s="15"/>
      <c r="AE193" s="15"/>
      <c r="AF193" s="15"/>
      <c r="AG193" s="15"/>
      <c r="AH193" s="15"/>
      <c r="AI193" s="15">
        <v>1</v>
      </c>
      <c r="AJ193" s="15">
        <v>1</v>
      </c>
      <c r="AK193" s="15"/>
      <c r="AL193" s="15"/>
      <c r="AM193" s="15">
        <v>1</v>
      </c>
      <c r="AN193" s="15">
        <v>1</v>
      </c>
      <c r="AO193" s="15"/>
      <c r="AP193" s="15"/>
      <c r="AQ193" s="15"/>
      <c r="AR193" s="15"/>
      <c r="AS193" s="15"/>
      <c r="AT193" s="15"/>
      <c r="AU193" s="15"/>
      <c r="AV193" s="1"/>
      <c r="AW193" s="1">
        <f t="shared" si="37"/>
        <v>10</v>
      </c>
      <c r="AX193" s="1"/>
      <c r="AY193" s="1"/>
      <c r="AZ193" s="1"/>
      <c r="BA193" s="1"/>
      <c r="BB193" s="1"/>
    </row>
    <row r="194" spans="2:54">
      <c r="B194"/>
      <c r="C194" s="240" t="s">
        <v>320</v>
      </c>
      <c r="D194" s="14"/>
      <c r="E194" s="14" t="s">
        <v>266</v>
      </c>
      <c r="F194" s="14"/>
      <c r="G194" s="14" t="s">
        <v>297</v>
      </c>
      <c r="H194" s="15"/>
      <c r="I194" s="15">
        <v>73</v>
      </c>
      <c r="K194" s="39">
        <f>IF(INDEX('3. Hardware Options'!$T$6:$T$100,MATCH(T_Brackets[[#This Row],[Description]],'3. Hardware Options'!$Q$6:$Q$100,0))="Show",1,0)</f>
        <v>1</v>
      </c>
      <c r="L194" s="39">
        <f t="shared" si="35"/>
        <v>0</v>
      </c>
      <c r="M194" s="15" cm="1">
        <f t="array" aca="1" ref="M194" ca="1">IFERROR(IF(INDIRECT("o_"&amp;T_Brackets[[#This Row],[Column2]]&amp;"ActualRoll_mm")&lt;T_Brackets[[#This Row],[Max Roll Diameter]],1,0),0)</f>
        <v>0</v>
      </c>
      <c r="N194" s="15" cm="1">
        <f t="array" ref="N194">IFERROR(INDEX($Q194:$AU194,,MATCH(i_Control,$Q$159:$AU$159,0)),0)</f>
        <v>0</v>
      </c>
      <c r="O194" s="39">
        <f t="shared" ca="1" si="36"/>
        <v>0</v>
      </c>
      <c r="P194" s="340"/>
      <c r="Q194" s="15">
        <v>1</v>
      </c>
      <c r="R194" s="15"/>
      <c r="S194" s="15"/>
      <c r="T194" s="15">
        <v>1</v>
      </c>
      <c r="U194" s="15">
        <v>1</v>
      </c>
      <c r="V194" s="15"/>
      <c r="W194" s="15">
        <v>1</v>
      </c>
      <c r="X194" s="15">
        <v>1</v>
      </c>
      <c r="Y194" s="15">
        <v>1</v>
      </c>
      <c r="Z194" s="15"/>
      <c r="AA194" s="15"/>
      <c r="AB194" s="15"/>
      <c r="AC194" s="15"/>
      <c r="AD194" s="15"/>
      <c r="AE194" s="15"/>
      <c r="AF194" s="15"/>
      <c r="AG194" s="15"/>
      <c r="AH194" s="15"/>
      <c r="AI194" s="15">
        <v>1</v>
      </c>
      <c r="AJ194" s="15">
        <v>1</v>
      </c>
      <c r="AK194" s="15">
        <v>1</v>
      </c>
      <c r="AL194" s="15"/>
      <c r="AM194" s="15">
        <v>1</v>
      </c>
      <c r="AN194" s="15">
        <v>1</v>
      </c>
      <c r="AO194" s="15"/>
      <c r="AP194" s="15"/>
      <c r="AQ194" s="15"/>
      <c r="AR194" s="15"/>
      <c r="AS194" s="15"/>
      <c r="AT194" s="15"/>
      <c r="AU194" s="15"/>
      <c r="AV194" s="1"/>
      <c r="AW194" s="1">
        <f t="shared" si="37"/>
        <v>11</v>
      </c>
      <c r="AX194" s="1"/>
      <c r="AY194" s="1"/>
      <c r="AZ194" s="1"/>
      <c r="BA194" s="1"/>
      <c r="BB194" s="1"/>
    </row>
    <row r="195" spans="2:54">
      <c r="B195"/>
      <c r="C195" s="240" t="s">
        <v>320</v>
      </c>
      <c r="D195" s="14"/>
      <c r="E195" s="14" t="s">
        <v>266</v>
      </c>
      <c r="F195" s="14"/>
      <c r="G195" s="14" t="s">
        <v>997</v>
      </c>
      <c r="H195" s="15"/>
      <c r="I195" s="23">
        <v>73</v>
      </c>
      <c r="K195" s="39">
        <f>IF(INDEX('3. Hardware Options'!$T$6:$T$100,MATCH(T_Brackets[[#This Row],[Description]],'3. Hardware Options'!$Q$6:$Q$100,0))="Show",1,0)</f>
        <v>1</v>
      </c>
      <c r="L195" s="39">
        <f t="shared" si="35"/>
        <v>0</v>
      </c>
      <c r="M195" s="15" cm="1">
        <f t="array" aca="1" ref="M195" ca="1">IFERROR(IF(INDIRECT("o_"&amp;T_Brackets[[#This Row],[Column2]]&amp;"ActualRoll_mm")&lt;T_Brackets[[#This Row],[Max Roll Diameter]],1,0),0)</f>
        <v>0</v>
      </c>
      <c r="N195" s="15" cm="1">
        <f t="array" ref="N195">IFERROR(INDEX($Q195:$AU195,,MATCH(i_Control,$Q$159:$AU$159,0)),0)</f>
        <v>0</v>
      </c>
      <c r="O195" s="39">
        <f t="shared" ca="1" si="36"/>
        <v>0</v>
      </c>
      <c r="P195" s="340"/>
      <c r="Q195" s="15">
        <v>1</v>
      </c>
      <c r="R195" s="15"/>
      <c r="S195" s="15"/>
      <c r="T195" s="15"/>
      <c r="U195" s="15"/>
      <c r="V195" s="15"/>
      <c r="W195" s="15">
        <v>1</v>
      </c>
      <c r="X195" s="15">
        <v>1</v>
      </c>
      <c r="Y195" s="15">
        <v>1</v>
      </c>
      <c r="Z195" s="15"/>
      <c r="AA195" s="15"/>
      <c r="AB195" s="15"/>
      <c r="AC195" s="15"/>
      <c r="AD195" s="15"/>
      <c r="AE195" s="15"/>
      <c r="AF195" s="15"/>
      <c r="AG195" s="15"/>
      <c r="AH195" s="15"/>
      <c r="AI195" s="15">
        <v>1</v>
      </c>
      <c r="AJ195" s="15">
        <v>1</v>
      </c>
      <c r="AK195" s="15">
        <v>1</v>
      </c>
      <c r="AL195" s="15"/>
      <c r="AM195" s="15">
        <v>1</v>
      </c>
      <c r="AN195" s="15">
        <v>1</v>
      </c>
      <c r="AO195" s="15">
        <v>1</v>
      </c>
      <c r="AP195" s="15">
        <v>1</v>
      </c>
      <c r="AQ195" s="15">
        <v>1</v>
      </c>
      <c r="AR195" s="15">
        <v>1</v>
      </c>
      <c r="AS195" s="15"/>
      <c r="AT195" s="15"/>
      <c r="AU195" s="15"/>
      <c r="AV195" s="1"/>
      <c r="AW195" s="1">
        <f t="shared" si="37"/>
        <v>13</v>
      </c>
      <c r="AX195" s="1"/>
      <c r="AY195" s="1"/>
      <c r="AZ195" s="1"/>
      <c r="BA195" s="1"/>
      <c r="BB195" s="1"/>
    </row>
    <row r="196" spans="2:54">
      <c r="B196"/>
      <c r="C196" s="240" t="s">
        <v>320</v>
      </c>
      <c r="D196" s="14"/>
      <c r="E196" s="14" t="s">
        <v>266</v>
      </c>
      <c r="F196" s="14"/>
      <c r="G196" s="14" t="s">
        <v>298</v>
      </c>
      <c r="H196" s="15"/>
      <c r="I196" s="15">
        <v>70</v>
      </c>
      <c r="K196" s="39">
        <f>IF(INDEX('3. Hardware Options'!$T$6:$T$100,MATCH(T_Brackets[[#This Row],[Description]],'3. Hardware Options'!$Q$6:$Q$100,0))="Show",1,0)</f>
        <v>1</v>
      </c>
      <c r="L196" s="39">
        <f t="shared" si="35"/>
        <v>0</v>
      </c>
      <c r="M196" s="15" cm="1">
        <f t="array" aca="1" ref="M196" ca="1">IFERROR(IF(INDIRECT("o_"&amp;T_Brackets[[#This Row],[Column2]]&amp;"ActualRoll_mm")&lt;T_Brackets[[#This Row],[Max Roll Diameter]],1,0),0)</f>
        <v>0</v>
      </c>
      <c r="N196" s="15" cm="1">
        <f t="array" ref="N196">IFERROR(INDEX($Q196:$AU196,,MATCH(i_Control,$Q$159:$AU$159,0)),0)</f>
        <v>0</v>
      </c>
      <c r="O196" s="39">
        <f t="shared" ca="1" si="36"/>
        <v>0</v>
      </c>
      <c r="P196" s="340"/>
      <c r="Q196" s="15">
        <v>1</v>
      </c>
      <c r="R196" s="15"/>
      <c r="S196" s="15"/>
      <c r="T196" s="15">
        <v>1</v>
      </c>
      <c r="U196" s="15">
        <v>1</v>
      </c>
      <c r="V196" s="15"/>
      <c r="W196" s="15">
        <v>1</v>
      </c>
      <c r="X196" s="15">
        <v>1</v>
      </c>
      <c r="Y196" s="15">
        <v>1</v>
      </c>
      <c r="Z196" s="15"/>
      <c r="AA196" s="15"/>
      <c r="AB196" s="15"/>
      <c r="AC196" s="15"/>
      <c r="AD196" s="15"/>
      <c r="AE196" s="15"/>
      <c r="AF196" s="15"/>
      <c r="AG196" s="15"/>
      <c r="AH196" s="15"/>
      <c r="AI196" s="15">
        <v>1</v>
      </c>
      <c r="AJ196" s="15">
        <v>1</v>
      </c>
      <c r="AK196" s="15">
        <v>1</v>
      </c>
      <c r="AL196" s="15"/>
      <c r="AM196" s="15">
        <v>1</v>
      </c>
      <c r="AN196" s="15">
        <v>1</v>
      </c>
      <c r="AO196" s="15">
        <v>1</v>
      </c>
      <c r="AP196" s="15">
        <v>1</v>
      </c>
      <c r="AQ196" s="15">
        <v>1</v>
      </c>
      <c r="AR196" s="15"/>
      <c r="AS196" s="15"/>
      <c r="AT196" s="15"/>
      <c r="AU196" s="15"/>
      <c r="AV196" s="1"/>
      <c r="AW196" s="1">
        <f t="shared" si="37"/>
        <v>14</v>
      </c>
      <c r="AX196" s="1"/>
      <c r="AY196" s="1"/>
      <c r="AZ196" s="1"/>
      <c r="BA196" s="1"/>
      <c r="BB196" s="1"/>
    </row>
    <row r="197" spans="2:54">
      <c r="B197"/>
      <c r="C197" s="240" t="s">
        <v>320</v>
      </c>
      <c r="D197" s="14"/>
      <c r="E197" s="14" t="s">
        <v>266</v>
      </c>
      <c r="F197" s="14"/>
      <c r="G197" s="14" t="s">
        <v>299</v>
      </c>
      <c r="H197" s="15"/>
      <c r="I197" s="15">
        <v>95</v>
      </c>
      <c r="K197" s="39">
        <f>IF(INDEX('3. Hardware Options'!$T$6:$T$100,MATCH(T_Brackets[[#This Row],[Description]],'3. Hardware Options'!$Q$6:$Q$100,0))="Show",1,0)</f>
        <v>1</v>
      </c>
      <c r="L197" s="39">
        <f t="shared" si="35"/>
        <v>0</v>
      </c>
      <c r="M197" s="15" cm="1">
        <f t="array" aca="1" ref="M197" ca="1">IFERROR(IF(INDIRECT("o_"&amp;T_Brackets[[#This Row],[Column2]]&amp;"ActualRoll_mm")&lt;T_Brackets[[#This Row],[Max Roll Diameter]],1,0),0)</f>
        <v>0</v>
      </c>
      <c r="N197" s="15" cm="1">
        <f t="array" ref="N197">IFERROR(INDEX($Q197:$AU197,,MATCH(i_Control,$Q$159:$AU$159,0)),0)</f>
        <v>0</v>
      </c>
      <c r="O197" s="39">
        <f t="shared" ca="1" si="36"/>
        <v>0</v>
      </c>
      <c r="P197" s="340"/>
      <c r="Q197" s="15">
        <v>1</v>
      </c>
      <c r="R197" s="15">
        <v>1</v>
      </c>
      <c r="S197" s="15"/>
      <c r="T197" s="15"/>
      <c r="U197" s="15">
        <v>1</v>
      </c>
      <c r="V197" s="15">
        <v>1</v>
      </c>
      <c r="W197" s="15">
        <v>1</v>
      </c>
      <c r="X197" s="15">
        <v>1</v>
      </c>
      <c r="Y197" s="15">
        <v>1</v>
      </c>
      <c r="Z197" s="15"/>
      <c r="AA197" s="15"/>
      <c r="AB197" s="15"/>
      <c r="AC197" s="15"/>
      <c r="AD197" s="15"/>
      <c r="AE197" s="15"/>
      <c r="AF197" s="15"/>
      <c r="AG197" s="15"/>
      <c r="AH197" s="15"/>
      <c r="AI197" s="15">
        <v>1</v>
      </c>
      <c r="AJ197" s="15">
        <v>1</v>
      </c>
      <c r="AK197" s="15">
        <v>1</v>
      </c>
      <c r="AL197" s="15">
        <v>1</v>
      </c>
      <c r="AM197" s="15">
        <v>1</v>
      </c>
      <c r="AN197" s="15">
        <v>1</v>
      </c>
      <c r="AO197" s="15">
        <v>1</v>
      </c>
      <c r="AP197" s="15">
        <v>1</v>
      </c>
      <c r="AQ197" s="15">
        <v>1</v>
      </c>
      <c r="AR197" s="15"/>
      <c r="AS197" s="15"/>
      <c r="AT197" s="15"/>
      <c r="AU197" s="15"/>
      <c r="AV197" s="1"/>
      <c r="AW197" s="1">
        <f t="shared" si="37"/>
        <v>16</v>
      </c>
      <c r="AX197" s="1"/>
      <c r="AY197" s="1"/>
      <c r="AZ197" s="1"/>
      <c r="BA197" s="1"/>
      <c r="BB197" s="1"/>
    </row>
    <row r="198" spans="2:54">
      <c r="B198"/>
      <c r="C198" s="240" t="s">
        <v>320</v>
      </c>
      <c r="D198" s="14"/>
      <c r="E198" s="14" t="s">
        <v>266</v>
      </c>
      <c r="F198" s="14"/>
      <c r="G198" s="14" t="s">
        <v>404</v>
      </c>
      <c r="H198" s="15"/>
      <c r="I198" s="15">
        <v>120.7</v>
      </c>
      <c r="K198" s="39">
        <f>IF(INDEX('3. Hardware Options'!$T$6:$T$100,MATCH(T_Brackets[[#This Row],[Description]],'3. Hardware Options'!$Q$6:$Q$100,0))="Show",1,0)</f>
        <v>1</v>
      </c>
      <c r="L198" s="39">
        <f t="shared" si="35"/>
        <v>0</v>
      </c>
      <c r="M198" s="15" cm="1">
        <f t="array" aca="1" ref="M198" ca="1">IFERROR(IF(INDIRECT("o_"&amp;T_Brackets[[#This Row],[Column2]]&amp;"ActualRoll_mm")&lt;T_Brackets[[#This Row],[Max Roll Diameter]],1,0),0)</f>
        <v>0</v>
      </c>
      <c r="N198" s="15" cm="1">
        <f t="array" ref="N198">IFERROR(INDEX($Q198:$AU198,,MATCH(i_Control,$Q$159:$AU$159,0)),0)</f>
        <v>0</v>
      </c>
      <c r="O198" s="39">
        <f t="shared" ca="1" si="36"/>
        <v>0</v>
      </c>
      <c r="P198" s="340"/>
      <c r="Q198" s="15">
        <v>1</v>
      </c>
      <c r="R198" s="15">
        <v>1</v>
      </c>
      <c r="S198" s="15"/>
      <c r="T198" s="15"/>
      <c r="U198" s="15">
        <v>1</v>
      </c>
      <c r="V198" s="15">
        <v>1</v>
      </c>
      <c r="W198" s="15">
        <v>1</v>
      </c>
      <c r="X198" s="15">
        <v>1</v>
      </c>
      <c r="Y198" s="15">
        <v>1</v>
      </c>
      <c r="Z198" s="15"/>
      <c r="AA198" s="15"/>
      <c r="AB198" s="15"/>
      <c r="AC198" s="15"/>
      <c r="AD198" s="15"/>
      <c r="AE198" s="15"/>
      <c r="AF198" s="15"/>
      <c r="AG198" s="15"/>
      <c r="AH198" s="15"/>
      <c r="AI198" s="15"/>
      <c r="AJ198" s="15">
        <v>1</v>
      </c>
      <c r="AK198" s="15">
        <v>1</v>
      </c>
      <c r="AL198" s="15">
        <v>1</v>
      </c>
      <c r="AM198" s="15"/>
      <c r="AN198" s="15"/>
      <c r="AO198" s="15">
        <v>1</v>
      </c>
      <c r="AP198" s="15">
        <v>1</v>
      </c>
      <c r="AQ198" s="15">
        <v>1</v>
      </c>
      <c r="AR198" s="15"/>
      <c r="AS198" s="15"/>
      <c r="AT198" s="15"/>
      <c r="AU198" s="15"/>
      <c r="AV198" s="1"/>
      <c r="AW198" s="1">
        <f t="shared" si="37"/>
        <v>13</v>
      </c>
      <c r="AX198" s="1"/>
      <c r="AY198" s="1"/>
      <c r="AZ198" s="1"/>
      <c r="BA198" s="1"/>
      <c r="BB198" s="1"/>
    </row>
    <row r="199" spans="2:54">
      <c r="B199"/>
      <c r="C199" s="240" t="s">
        <v>320</v>
      </c>
      <c r="D199" s="14"/>
      <c r="E199" s="14" t="s">
        <v>266</v>
      </c>
      <c r="F199" s="14"/>
      <c r="G199" s="14" t="s">
        <v>405</v>
      </c>
      <c r="H199" s="15"/>
      <c r="I199" s="15">
        <v>70</v>
      </c>
      <c r="K199" s="39">
        <f>IF(INDEX('3. Hardware Options'!$T$6:$T$100,MATCH(T_Brackets[[#This Row],[Description]],'3. Hardware Options'!$Q$6:$Q$100,0))="Show",1,0)</f>
        <v>1</v>
      </c>
      <c r="L199" s="39">
        <f t="shared" si="35"/>
        <v>0</v>
      </c>
      <c r="M199" s="15" cm="1">
        <f t="array" aca="1" ref="M199" ca="1">IFERROR(IF(INDIRECT("o_"&amp;T_Brackets[[#This Row],[Column2]]&amp;"ActualRoll_mm")&lt;T_Brackets[[#This Row],[Max Roll Diameter]],1,0),0)</f>
        <v>0</v>
      </c>
      <c r="N199" s="15" cm="1">
        <f t="array" ref="N199">IFERROR(INDEX($Q199:$AU199,,MATCH(i_Control,$Q$159:$AU$159,0)),0)</f>
        <v>0</v>
      </c>
      <c r="O199" s="39">
        <f t="shared" ca="1" si="36"/>
        <v>0</v>
      </c>
      <c r="P199" s="340"/>
      <c r="Q199" s="15">
        <v>1</v>
      </c>
      <c r="R199" s="15"/>
      <c r="S199" s="15"/>
      <c r="T199" s="15"/>
      <c r="U199" s="15"/>
      <c r="V199" s="15"/>
      <c r="W199" s="15">
        <v>1</v>
      </c>
      <c r="X199" s="15">
        <v>1</v>
      </c>
      <c r="Y199" s="15">
        <v>1</v>
      </c>
      <c r="Z199" s="15"/>
      <c r="AA199" s="15"/>
      <c r="AB199" s="15"/>
      <c r="AC199" s="15"/>
      <c r="AD199" s="15"/>
      <c r="AE199" s="15"/>
      <c r="AF199" s="15"/>
      <c r="AG199" s="15"/>
      <c r="AH199" s="15"/>
      <c r="AI199" s="15"/>
      <c r="AJ199" s="15">
        <v>1</v>
      </c>
      <c r="AK199" s="15">
        <v>1</v>
      </c>
      <c r="AL199" s="15"/>
      <c r="AM199" s="15"/>
      <c r="AN199" s="15"/>
      <c r="AO199" s="15">
        <v>1</v>
      </c>
      <c r="AP199" s="15">
        <v>1</v>
      </c>
      <c r="AQ199" s="15">
        <v>1</v>
      </c>
      <c r="AR199" s="15"/>
      <c r="AS199" s="15"/>
      <c r="AT199" s="15"/>
      <c r="AU199" s="15"/>
      <c r="AV199" s="1"/>
      <c r="AW199" s="1">
        <f t="shared" si="37"/>
        <v>9</v>
      </c>
      <c r="AX199" s="1"/>
      <c r="AY199" s="1"/>
      <c r="AZ199" s="1"/>
      <c r="BA199" s="1"/>
      <c r="BB199" s="1"/>
    </row>
    <row r="200" spans="2:54">
      <c r="B200"/>
      <c r="C200" s="240" t="s">
        <v>320</v>
      </c>
      <c r="D200" s="14"/>
      <c r="E200" s="14" t="s">
        <v>420</v>
      </c>
      <c r="F200" s="14"/>
      <c r="G200" s="14" t="s">
        <v>300</v>
      </c>
      <c r="H200" s="15"/>
      <c r="I200" s="15">
        <v>78</v>
      </c>
      <c r="K200" s="39">
        <f>IF(INDEX('3. Hardware Options'!$T$6:$T$100,MATCH(T_Brackets[[#This Row],[Description]],'3. Hardware Options'!$Q$6:$Q$100,0))="Show",1,0)</f>
        <v>1</v>
      </c>
      <c r="L200" s="39">
        <f t="shared" si="35"/>
        <v>1</v>
      </c>
      <c r="M200" s="15" cm="1">
        <f t="array" aca="1" ref="M200" ca="1">IFERROR(IF(INDIRECT("o_"&amp;T_Brackets[[#This Row],[Column2]]&amp;"ActualRoll_mm")&lt;T_Brackets[[#This Row],[Max Roll Diameter]],1,0),0)</f>
        <v>0</v>
      </c>
      <c r="N200" s="15" cm="1">
        <f t="array" ref="N200">IFERROR(INDEX($Q200:$AU200,,MATCH(i_Control,$Q$159:$AU$159,0)),0)</f>
        <v>0</v>
      </c>
      <c r="O200" s="39">
        <f t="shared" ca="1" si="36"/>
        <v>0</v>
      </c>
      <c r="P200" s="340"/>
      <c r="Q200" s="15"/>
      <c r="R200" s="15"/>
      <c r="S200" s="15"/>
      <c r="T200" s="15"/>
      <c r="U200" s="15"/>
      <c r="V200" s="15"/>
      <c r="W200" s="15">
        <v>1</v>
      </c>
      <c r="X200" s="15">
        <v>1</v>
      </c>
      <c r="Y200" s="15">
        <v>1</v>
      </c>
      <c r="Z200" s="15"/>
      <c r="AA200" s="15"/>
      <c r="AB200" s="15"/>
      <c r="AC200" s="15"/>
      <c r="AD200" s="15"/>
      <c r="AE200" s="15"/>
      <c r="AF200" s="15"/>
      <c r="AG200" s="15"/>
      <c r="AH200" s="15"/>
      <c r="AI200" s="15">
        <v>1</v>
      </c>
      <c r="AJ200" s="15">
        <v>1</v>
      </c>
      <c r="AK200" s="15"/>
      <c r="AL200" s="15"/>
      <c r="AM200" s="15">
        <v>1</v>
      </c>
      <c r="AN200" s="15">
        <v>1</v>
      </c>
      <c r="AO200" s="15">
        <v>1</v>
      </c>
      <c r="AP200" s="15">
        <v>1</v>
      </c>
      <c r="AQ200" s="15">
        <v>1</v>
      </c>
      <c r="AR200" s="15"/>
      <c r="AS200" s="15"/>
      <c r="AT200" s="15"/>
      <c r="AU200" s="15"/>
      <c r="AV200" s="1"/>
      <c r="AW200" s="1">
        <f t="shared" si="37"/>
        <v>10</v>
      </c>
      <c r="AX200" s="1"/>
      <c r="AY200" s="1"/>
      <c r="AZ200" s="1"/>
      <c r="BA200" s="1"/>
      <c r="BB200" s="1"/>
    </row>
    <row r="201" spans="2:54">
      <c r="B201"/>
      <c r="C201" s="240" t="s">
        <v>320</v>
      </c>
      <c r="D201" s="14"/>
      <c r="E201" s="14" t="s">
        <v>265</v>
      </c>
      <c r="F201" s="14"/>
      <c r="G201" s="14" t="s">
        <v>525</v>
      </c>
      <c r="H201" s="15"/>
      <c r="I201" s="23">
        <v>76</v>
      </c>
      <c r="K201" s="39">
        <f>IF(INDEX('3. Hardware Options'!$T$6:$T$100,MATCH(T_Brackets[[#This Row],[Description]],'3. Hardware Options'!$Q$6:$Q$100,0))="Show",1,0)</f>
        <v>1</v>
      </c>
      <c r="L201" s="39">
        <f t="shared" si="35"/>
        <v>1</v>
      </c>
      <c r="M201" s="15" cm="1">
        <f t="array" aca="1" ref="M201" ca="1">IFERROR(IF(INDIRECT("o_"&amp;T_Brackets[[#This Row],[Column2]]&amp;"ActualRoll_mm")&lt;T_Brackets[[#This Row],[Max Roll Diameter]],1,0),0)</f>
        <v>0</v>
      </c>
      <c r="N201" s="15" cm="1">
        <f t="array" ref="N201">IFERROR(INDEX($Q201:$AU201,,MATCH(i_Control,$Q$159:$AU$159,0)),0)</f>
        <v>0</v>
      </c>
      <c r="O201" s="39">
        <f t="shared" ca="1" si="36"/>
        <v>0</v>
      </c>
      <c r="P201" s="340"/>
      <c r="Q201" s="15"/>
      <c r="R201" s="15"/>
      <c r="S201" s="15"/>
      <c r="T201" s="15"/>
      <c r="U201" s="15"/>
      <c r="V201" s="15"/>
      <c r="W201" s="15">
        <v>1</v>
      </c>
      <c r="X201" s="15">
        <v>1</v>
      </c>
      <c r="Y201" s="15">
        <v>1</v>
      </c>
      <c r="Z201" s="15"/>
      <c r="AA201" s="15">
        <v>1</v>
      </c>
      <c r="AB201" s="15">
        <v>1</v>
      </c>
      <c r="AC201" s="266">
        <f t="shared" ref="AC201:AG201" si="44">IF(i_Tube=S60_STD,"",1)</f>
        <v>1</v>
      </c>
      <c r="AD201" s="266">
        <f t="shared" si="44"/>
        <v>1</v>
      </c>
      <c r="AE201" s="266">
        <f t="shared" si="44"/>
        <v>1</v>
      </c>
      <c r="AF201" s="266">
        <f t="shared" si="44"/>
        <v>1</v>
      </c>
      <c r="AG201" s="266">
        <f t="shared" si="44"/>
        <v>1</v>
      </c>
      <c r="AH201" s="15"/>
      <c r="AI201" s="15"/>
      <c r="AJ201" s="15"/>
      <c r="AK201" s="15"/>
      <c r="AL201" s="15"/>
      <c r="AM201" s="15">
        <v>1</v>
      </c>
      <c r="AN201" s="15">
        <v>1</v>
      </c>
      <c r="AO201" s="15">
        <v>1</v>
      </c>
      <c r="AP201" s="15"/>
      <c r="AQ201" s="15"/>
      <c r="AR201" s="15"/>
      <c r="AS201" s="15"/>
      <c r="AT201" s="15"/>
      <c r="AU201" s="15"/>
      <c r="AV201" s="1"/>
      <c r="AW201" s="1">
        <f t="shared" si="37"/>
        <v>13</v>
      </c>
      <c r="AX201" s="1"/>
      <c r="AY201" s="1"/>
      <c r="AZ201" s="1"/>
      <c r="BA201" s="1"/>
      <c r="BB201" s="1"/>
    </row>
    <row r="202" spans="2:54">
      <c r="B202"/>
      <c r="C202" s="240" t="s">
        <v>320</v>
      </c>
      <c r="D202" s="14"/>
      <c r="E202" s="14" t="s">
        <v>265</v>
      </c>
      <c r="F202" s="14"/>
      <c r="G202" s="14" t="s">
        <v>526</v>
      </c>
      <c r="H202" s="15"/>
      <c r="I202" s="23">
        <v>92</v>
      </c>
      <c r="K202" s="39">
        <f>IF(INDEX('3. Hardware Options'!$T$6:$T$100,MATCH(T_Brackets[[#This Row],[Description]],'3. Hardware Options'!$Q$6:$Q$100,0))="Show",1,0)</f>
        <v>1</v>
      </c>
      <c r="L202" s="39">
        <f t="shared" si="35"/>
        <v>1</v>
      </c>
      <c r="M202" s="15" cm="1">
        <f t="array" aca="1" ref="M202" ca="1">IFERROR(IF(INDIRECT("o_"&amp;T_Brackets[[#This Row],[Column2]]&amp;"ActualRoll_mm")&lt;T_Brackets[[#This Row],[Max Roll Diameter]],1,0),0)</f>
        <v>0</v>
      </c>
      <c r="N202" s="15" cm="1">
        <f t="array" ref="N202">IFERROR(INDEX($Q202:$AU202,,MATCH(i_Control,$Q$159:$AU$159,0)),0)</f>
        <v>0</v>
      </c>
      <c r="O202" s="39">
        <f t="shared" ca="1" si="36"/>
        <v>0</v>
      </c>
      <c r="P202" s="340"/>
      <c r="Q202" s="15"/>
      <c r="R202" s="15"/>
      <c r="S202" s="15"/>
      <c r="T202" s="15"/>
      <c r="U202" s="15"/>
      <c r="V202" s="15"/>
      <c r="W202" s="15">
        <v>1</v>
      </c>
      <c r="X202" s="15">
        <v>1</v>
      </c>
      <c r="Y202" s="15">
        <v>1</v>
      </c>
      <c r="Z202" s="15"/>
      <c r="AA202" s="15"/>
      <c r="AB202" s="15"/>
      <c r="AC202" s="15"/>
      <c r="AD202" s="15"/>
      <c r="AE202" s="15"/>
      <c r="AF202" s="15"/>
      <c r="AG202" s="15"/>
      <c r="AH202" s="15">
        <v>1</v>
      </c>
      <c r="AI202" s="15"/>
      <c r="AJ202" s="15"/>
      <c r="AK202" s="15"/>
      <c r="AL202" s="15"/>
      <c r="AM202" s="15">
        <v>1</v>
      </c>
      <c r="AN202" s="15">
        <v>1</v>
      </c>
      <c r="AO202" s="15">
        <v>1</v>
      </c>
      <c r="AP202" s="15"/>
      <c r="AQ202" s="15"/>
      <c r="AR202" s="15"/>
      <c r="AS202" s="15"/>
      <c r="AT202" s="15"/>
      <c r="AU202" s="15"/>
      <c r="AV202" s="1"/>
      <c r="AW202" s="1">
        <f t="shared" si="37"/>
        <v>7</v>
      </c>
      <c r="AX202" s="1"/>
      <c r="AY202" s="1"/>
      <c r="AZ202" s="1"/>
      <c r="BA202" s="1"/>
      <c r="BB202" s="1"/>
    </row>
    <row r="203" spans="2:54">
      <c r="B203"/>
      <c r="C203" s="240" t="s">
        <v>320</v>
      </c>
      <c r="D203" s="14"/>
      <c r="E203" s="14" t="s">
        <v>420</v>
      </c>
      <c r="F203" s="14"/>
      <c r="G203" s="14" t="s">
        <v>301</v>
      </c>
      <c r="H203" s="15"/>
      <c r="I203" s="15">
        <v>77</v>
      </c>
      <c r="K203" s="39">
        <f>IF(INDEX('3. Hardware Options'!$T$6:$T$100,MATCH(T_Brackets[[#This Row],[Description]],'3. Hardware Options'!$Q$6:$Q$100,0))="Show",1,0)</f>
        <v>1</v>
      </c>
      <c r="L203" s="39">
        <f t="shared" si="35"/>
        <v>1</v>
      </c>
      <c r="M203" s="15" cm="1">
        <f t="array" aca="1" ref="M203" ca="1">IFERROR(IF(INDIRECT("o_"&amp;T_Brackets[[#This Row],[Column2]]&amp;"ActualRoll_mm")&lt;T_Brackets[[#This Row],[Max Roll Diameter]],1,0),0)</f>
        <v>0</v>
      </c>
      <c r="N203" s="15" cm="1">
        <f t="array" ref="N203">IFERROR(INDEX($Q203:$AU203,,MATCH(i_Control,$Q$159:$AU$159,0)),0)</f>
        <v>0</v>
      </c>
      <c r="O203" s="39">
        <f t="shared" ca="1" si="36"/>
        <v>0</v>
      </c>
      <c r="P203" s="340"/>
      <c r="Q203" s="15"/>
      <c r="R203" s="15"/>
      <c r="S203" s="15"/>
      <c r="T203" s="15"/>
      <c r="U203" s="15"/>
      <c r="V203" s="15"/>
      <c r="W203" s="15">
        <v>1</v>
      </c>
      <c r="X203" s="15">
        <v>1</v>
      </c>
      <c r="Y203" s="15">
        <v>1</v>
      </c>
      <c r="Z203" s="15"/>
      <c r="AA203" s="15">
        <v>1</v>
      </c>
      <c r="AB203" s="15">
        <v>1</v>
      </c>
      <c r="AC203" s="15">
        <v>1</v>
      </c>
      <c r="AD203" s="15">
        <v>1</v>
      </c>
      <c r="AE203" s="15">
        <v>1</v>
      </c>
      <c r="AF203" s="15">
        <v>1</v>
      </c>
      <c r="AG203" s="15">
        <v>1</v>
      </c>
      <c r="AH203" s="15"/>
      <c r="AI203" s="15"/>
      <c r="AJ203" s="15"/>
      <c r="AK203" s="15"/>
      <c r="AL203" s="15"/>
      <c r="AM203" s="15">
        <v>1</v>
      </c>
      <c r="AN203" s="15">
        <v>1</v>
      </c>
      <c r="AO203" s="15">
        <v>1</v>
      </c>
      <c r="AP203" s="15">
        <v>1</v>
      </c>
      <c r="AQ203" s="15">
        <v>1</v>
      </c>
      <c r="AR203" s="15"/>
      <c r="AS203" s="15"/>
      <c r="AT203" s="15"/>
      <c r="AU203" s="15"/>
      <c r="AV203" s="1"/>
      <c r="AW203" s="1">
        <f t="shared" si="37"/>
        <v>15</v>
      </c>
      <c r="AX203" s="1"/>
      <c r="AY203" s="1"/>
      <c r="AZ203" s="1"/>
      <c r="BA203" s="1"/>
    </row>
    <row r="204" spans="2:54">
      <c r="B204"/>
      <c r="P204" s="140"/>
      <c r="AH204" s="1"/>
      <c r="AI204" s="1"/>
    </row>
    <row r="205" spans="2:54">
      <c r="B205"/>
      <c r="P205" s="140"/>
    </row>
    <row r="206" spans="2:54">
      <c r="B206"/>
      <c r="P206" s="140"/>
    </row>
    <row r="207" spans="2:54">
      <c r="B207"/>
      <c r="O207" s="140"/>
    </row>
    <row r="208" spans="2:54">
      <c r="B208"/>
      <c r="F208" s="149" t="s">
        <v>767</v>
      </c>
      <c r="G208" s="1" t="str">
        <f>o_LinkActive</f>
        <v>No</v>
      </c>
      <c r="H208" s="190" t="s">
        <v>765</v>
      </c>
      <c r="J208" s="26" t="s">
        <v>813</v>
      </c>
      <c r="O208" s="140"/>
    </row>
    <row r="209" spans="2:15">
      <c r="B209"/>
      <c r="F209" s="149" t="s">
        <v>766</v>
      </c>
      <c r="G209" s="1">
        <f>i_Tube</f>
        <v>0</v>
      </c>
      <c r="H209" s="213" t="e">
        <f>o_LinkTorqueReqd</f>
        <v>#N/A</v>
      </c>
      <c r="I209" t="s">
        <v>14</v>
      </c>
      <c r="J209" s="158" t="e">
        <f>o_tMax_Sum</f>
        <v>#N/A</v>
      </c>
      <c r="K209" t="s">
        <v>14</v>
      </c>
      <c r="N209" s="190" t="s">
        <v>283</v>
      </c>
      <c r="O209" s="140"/>
    </row>
    <row r="210" spans="2:15" ht="15" thickBot="1">
      <c r="B210"/>
      <c r="N210" s="1" t="e">
        <f>IF(SUM($L$213:$L$218)=0,1,COUNTIF($L$213:$L$218,"&gt;0"))</f>
        <v>#N/A</v>
      </c>
      <c r="O210" s="140"/>
    </row>
    <row r="211" spans="2:15">
      <c r="B211"/>
      <c r="C211" s="760" t="s">
        <v>757</v>
      </c>
      <c r="D211" s="761"/>
      <c r="E211" s="761"/>
      <c r="F211" s="762"/>
      <c r="G211" s="5" t="s">
        <v>751</v>
      </c>
      <c r="O211" s="140"/>
    </row>
    <row r="212" spans="2:15">
      <c r="B212"/>
      <c r="C212" s="250" t="s">
        <v>340</v>
      </c>
      <c r="D212" s="250" t="s">
        <v>270</v>
      </c>
      <c r="E212" s="210" t="s">
        <v>756</v>
      </c>
      <c r="F212" s="210" t="s">
        <v>16</v>
      </c>
      <c r="G212" s="211" t="s">
        <v>750</v>
      </c>
      <c r="H212" s="210" t="s">
        <v>768</v>
      </c>
      <c r="J212" s="116" t="s">
        <v>785</v>
      </c>
      <c r="L212" s="116" t="s">
        <v>432</v>
      </c>
      <c r="N212" s="335" t="s">
        <v>786</v>
      </c>
      <c r="O212" s="140"/>
    </row>
    <row r="213" spans="2:15">
      <c r="B213"/>
      <c r="C213" s="206"/>
      <c r="D213" s="206"/>
      <c r="E213" s="10"/>
      <c r="F213" s="10" t="s">
        <v>787</v>
      </c>
      <c r="G213" s="22" t="s">
        <v>500</v>
      </c>
      <c r="H213" s="1">
        <v>1</v>
      </c>
      <c r="J213" s="1" t="e">
        <f>IF(SUM(L214:L218)=0,1,0)</f>
        <v>#N/A</v>
      </c>
      <c r="L213" s="1" t="e">
        <f>PRODUCT((H213:J213))</f>
        <v>#N/A</v>
      </c>
      <c r="N213" t="str" cm="1">
        <f t="array" ref="N213">IFERROR(IF(o_LinkActive="Yes",_xlfn._xlws.FILTER($F$213:$F$218,$L$213:$L$218),""),"")</f>
        <v/>
      </c>
      <c r="O213" s="140"/>
    </row>
    <row r="214" spans="2:15">
      <c r="B214"/>
      <c r="C214" s="240"/>
      <c r="D214" s="240"/>
      <c r="E214" s="14"/>
      <c r="F214" s="14" t="s">
        <v>755</v>
      </c>
      <c r="G214" s="23">
        <v>2</v>
      </c>
      <c r="H214" s="1" t="e">
        <f>INDEX(T_LinkTubeCompat[],MATCH(i_Tube,Tube_Description,0),MATCH(T_Links[[#This Row],[Description]],T_LinkTubeCompat[#Headers],0))</f>
        <v>#N/A</v>
      </c>
      <c r="J214" s="1" t="e" cm="1">
        <f t="array" ref="J214:J218">IF(G214:G218&gt;o_LinkTorqueReqd,1,0)</f>
        <v>#N/A</v>
      </c>
      <c r="L214" s="1" t="e">
        <f t="shared" ref="L214:L218" si="45">PRODUCT((H214:J214))</f>
        <v>#N/A</v>
      </c>
      <c r="O214" s="140"/>
    </row>
    <row r="215" spans="2:15">
      <c r="B215"/>
      <c r="C215" s="240"/>
      <c r="D215" s="240"/>
      <c r="E215" s="14"/>
      <c r="F215" s="14" t="s">
        <v>753</v>
      </c>
      <c r="G215" s="23">
        <v>2</v>
      </c>
      <c r="H215" s="1" t="e">
        <f>INDEX(T_LinkTubeCompat[],MATCH(i_Tube,Tube_Description,0),MATCH(T_Links[[#This Row],[Description]],T_LinkTubeCompat[#Headers],0))</f>
        <v>#N/A</v>
      </c>
      <c r="J215" s="1" t="e">
        <v>#N/A</v>
      </c>
      <c r="L215" s="1" t="e">
        <f t="shared" si="45"/>
        <v>#N/A</v>
      </c>
      <c r="O215" s="140"/>
    </row>
    <row r="216" spans="2:15">
      <c r="B216"/>
      <c r="C216" s="240"/>
      <c r="D216" s="240"/>
      <c r="E216" s="14"/>
      <c r="F216" s="14" t="s">
        <v>754</v>
      </c>
      <c r="G216" s="23">
        <v>3</v>
      </c>
      <c r="H216" s="1" t="e">
        <f>INDEX(T_LinkTubeCompat[],MATCH(i_Tube,Tube_Description,0),MATCH(T_Links[[#This Row],[Description]],T_LinkTubeCompat[#Headers],0))</f>
        <v>#N/A</v>
      </c>
      <c r="J216" s="1" t="e">
        <v>#N/A</v>
      </c>
      <c r="L216" s="1" t="e">
        <f t="shared" si="45"/>
        <v>#N/A</v>
      </c>
      <c r="O216" s="140"/>
    </row>
    <row r="217" spans="2:15">
      <c r="B217"/>
      <c r="C217" s="240"/>
      <c r="D217" s="240"/>
      <c r="E217" s="14"/>
      <c r="F217" s="14" t="s">
        <v>796</v>
      </c>
      <c r="G217" s="23">
        <v>2.5</v>
      </c>
      <c r="H217" s="1" t="e">
        <f>INDEX(T_LinkTubeCompat[],MATCH(i_Tube,Tube_Description,0),MATCH(T_Links[[#This Row],[Description]],T_LinkTubeCompat[#Headers],0))</f>
        <v>#N/A</v>
      </c>
      <c r="J217" s="1" t="e">
        <v>#N/A</v>
      </c>
      <c r="L217" s="1" t="e">
        <f t="shared" si="45"/>
        <v>#N/A</v>
      </c>
      <c r="O217" s="140"/>
    </row>
    <row r="218" spans="2:15">
      <c r="B218"/>
      <c r="C218" s="240"/>
      <c r="D218" s="240"/>
      <c r="E218" s="14"/>
      <c r="F218" s="14" t="s">
        <v>752</v>
      </c>
      <c r="G218" s="23">
        <v>14</v>
      </c>
      <c r="H218" s="1" t="e">
        <f>INDEX(T_LinkTubeCompat[],MATCH(i_Tube,Tube_Description,0),MATCH(T_Links[[#This Row],[Description]],T_LinkTubeCompat[#Headers],0))</f>
        <v>#N/A</v>
      </c>
      <c r="J218" s="1" t="e">
        <v>#N/A</v>
      </c>
      <c r="L218" s="1" t="e">
        <f t="shared" si="45"/>
        <v>#N/A</v>
      </c>
      <c r="O218" s="140"/>
    </row>
    <row r="219" spans="2:15">
      <c r="B219"/>
      <c r="O219" s="140"/>
    </row>
    <row r="220" spans="2:15">
      <c r="B220"/>
      <c r="K220" s="268"/>
      <c r="O220" s="140"/>
    </row>
    <row r="221" spans="2:15">
      <c r="B221"/>
      <c r="O221" s="140"/>
    </row>
    <row r="222" spans="2:15">
      <c r="H222" t="s">
        <v>814</v>
      </c>
      <c r="O222" s="140"/>
    </row>
    <row r="224" spans="2:15">
      <c r="B224"/>
    </row>
    <row r="225" spans="2:8">
      <c r="B225"/>
      <c r="C225" s="264" t="s">
        <v>310</v>
      </c>
      <c r="D225" s="265" t="s">
        <v>319</v>
      </c>
    </row>
    <row r="226" spans="2:8">
      <c r="B226"/>
      <c r="C226" s="190" t="s">
        <v>325</v>
      </c>
      <c r="D226" s="26">
        <v>1</v>
      </c>
    </row>
    <row r="227" spans="2:8">
      <c r="B227"/>
      <c r="C227" s="190" t="s">
        <v>312</v>
      </c>
      <c r="D227" s="26">
        <v>2</v>
      </c>
    </row>
    <row r="228" spans="2:8">
      <c r="B228"/>
      <c r="C228" s="190" t="s">
        <v>313</v>
      </c>
      <c r="D228" s="26">
        <v>3</v>
      </c>
    </row>
    <row r="229" spans="2:8">
      <c r="B229"/>
      <c r="C229" s="190" t="s">
        <v>314</v>
      </c>
      <c r="D229" s="26">
        <v>4</v>
      </c>
    </row>
    <row r="230" spans="2:8">
      <c r="B230"/>
      <c r="C230" s="190" t="s">
        <v>315</v>
      </c>
      <c r="D230" s="26">
        <v>5</v>
      </c>
    </row>
    <row r="231" spans="2:8">
      <c r="B231"/>
      <c r="C231" s="190" t="s">
        <v>316</v>
      </c>
      <c r="D231" s="26">
        <v>6</v>
      </c>
    </row>
    <row r="232" spans="2:8">
      <c r="B232"/>
      <c r="C232" s="190" t="s">
        <v>317</v>
      </c>
      <c r="D232" s="26">
        <v>7</v>
      </c>
    </row>
    <row r="233" spans="2:8">
      <c r="B233"/>
      <c r="C233" s="190" t="s">
        <v>318</v>
      </c>
      <c r="D233" s="26">
        <v>8</v>
      </c>
    </row>
    <row r="234" spans="2:8">
      <c r="C234" s="190" t="s">
        <v>974</v>
      </c>
      <c r="D234" s="26">
        <v>9</v>
      </c>
    </row>
    <row r="235" spans="2:8">
      <c r="C235" s="190" t="s">
        <v>1140</v>
      </c>
      <c r="D235" s="26">
        <v>10</v>
      </c>
    </row>
    <row r="236" spans="2:8">
      <c r="C236" s="190" t="s">
        <v>1141</v>
      </c>
      <c r="D236" s="26">
        <v>11</v>
      </c>
    </row>
    <row r="237" spans="2:8">
      <c r="C237" s="190"/>
      <c r="D237" s="26"/>
    </row>
    <row r="238" spans="2:8">
      <c r="B238"/>
      <c r="C238" s="190"/>
      <c r="D238" s="26"/>
    </row>
    <row r="239" spans="2:8" ht="15" thickBot="1">
      <c r="B239"/>
    </row>
    <row r="240" spans="2:8">
      <c r="B240"/>
      <c r="C240" s="758" t="s">
        <v>975</v>
      </c>
      <c r="D240" s="759"/>
      <c r="E240" s="542"/>
      <c r="F240" s="595" t="s">
        <v>977</v>
      </c>
      <c r="G240" s="596" t="str">
        <f>i_Region</f>
        <v>AU</v>
      </c>
      <c r="H240" s="543"/>
    </row>
    <row r="241" spans="2:11">
      <c r="B241"/>
      <c r="C241" s="544"/>
      <c r="F241" s="190" t="s">
        <v>979</v>
      </c>
      <c r="G241" s="140">
        <f>COUNTA(C243:C247)</f>
        <v>3</v>
      </c>
      <c r="H241" s="545"/>
    </row>
    <row r="242" spans="2:11">
      <c r="B242"/>
      <c r="C242" s="597" t="s">
        <v>976</v>
      </c>
      <c r="D242" s="245" t="s">
        <v>265</v>
      </c>
      <c r="E242" s="245" t="s">
        <v>266</v>
      </c>
      <c r="F242" s="245" t="s">
        <v>981</v>
      </c>
      <c r="G242" s="245" t="s">
        <v>420</v>
      </c>
      <c r="H242" s="598" t="s">
        <v>432</v>
      </c>
      <c r="J242" s="335" t="s">
        <v>978</v>
      </c>
      <c r="K242" s="3" t="s">
        <v>343</v>
      </c>
    </row>
    <row r="243" spans="2:11">
      <c r="B243"/>
      <c r="C243" s="597" t="str">
        <f>z_Motor</f>
        <v>Motor</v>
      </c>
      <c r="D243" s="245">
        <v>1</v>
      </c>
      <c r="E243" s="245">
        <v>1</v>
      </c>
      <c r="F243" s="245"/>
      <c r="G243" s="560">
        <v>1</v>
      </c>
      <c r="H243" s="599" cm="1">
        <f t="array" aca="1" ref="H243:H245" ca="1">OFFSET(C242,1,MATCH(G240,D242:G242,0),G241)</f>
        <v>1</v>
      </c>
      <c r="J243" t="str" cm="1">
        <f t="array" aca="1" ref="J243:J245" ca="1">IFERROR(_xlfn._xlws.FILTER(L_mainControlType,$H$243:$H$247),"")</f>
        <v>Motor</v>
      </c>
      <c r="K243" s="604">
        <f ca="1">IF(SUM($H$243:$H$247)=0,1,COUNTIF($H$243:$H$247,"&gt;0"))</f>
        <v>3</v>
      </c>
    </row>
    <row r="244" spans="2:11">
      <c r="B244"/>
      <c r="C244" s="597" t="str">
        <f>z_Clutch</f>
        <v>Clutch</v>
      </c>
      <c r="D244" s="245">
        <v>1</v>
      </c>
      <c r="E244" s="245">
        <v>1</v>
      </c>
      <c r="F244" s="245"/>
      <c r="G244" s="560">
        <v>1</v>
      </c>
      <c r="H244" s="599">
        <f ca="1"/>
        <v>1</v>
      </c>
      <c r="J244" t="str">
        <f ca="1"/>
        <v>Clutch</v>
      </c>
    </row>
    <row r="245" spans="2:11">
      <c r="B245"/>
      <c r="C245" s="597" t="str">
        <f>z_ESA</f>
        <v>Easy Spring Air</v>
      </c>
      <c r="D245" s="245">
        <v>1</v>
      </c>
      <c r="E245" s="245">
        <v>1</v>
      </c>
      <c r="F245" s="245"/>
      <c r="G245" s="560">
        <v>1</v>
      </c>
      <c r="H245" s="599">
        <f ca="1"/>
        <v>1</v>
      </c>
      <c r="J245" t="str">
        <f ca="1"/>
        <v>Easy Spring Air</v>
      </c>
    </row>
    <row r="246" spans="2:11">
      <c r="B246"/>
      <c r="C246" s="597"/>
      <c r="D246" s="245"/>
      <c r="E246" s="245"/>
      <c r="F246" s="245"/>
      <c r="G246" s="560"/>
      <c r="H246" s="599"/>
    </row>
    <row r="247" spans="2:11" ht="15" thickBot="1">
      <c r="B247"/>
      <c r="C247" s="600"/>
      <c r="D247" s="601"/>
      <c r="E247" s="601"/>
      <c r="F247" s="601"/>
      <c r="G247" s="602"/>
      <c r="H247" s="603"/>
    </row>
    <row r="248" spans="2:11">
      <c r="B248"/>
      <c r="F248" s="1"/>
    </row>
    <row r="249" spans="2:11">
      <c r="F249" s="1"/>
    </row>
    <row r="251" spans="2:11">
      <c r="B251"/>
    </row>
    <row r="252" spans="2:11" ht="15" thickBot="1">
      <c r="B252"/>
      <c r="C252" t="s">
        <v>1004</v>
      </c>
    </row>
    <row r="253" spans="2:11" ht="15" thickBot="1">
      <c r="B253"/>
      <c r="C253" s="620" t="s">
        <v>1005</v>
      </c>
      <c r="D253" s="621" t="s">
        <v>1006</v>
      </c>
      <c r="E253" s="622" t="s">
        <v>1007</v>
      </c>
    </row>
    <row r="254" spans="2:11">
      <c r="B254"/>
      <c r="C254" s="619" t="s">
        <v>183</v>
      </c>
      <c r="D254" s="627">
        <f>i_ControlType</f>
        <v>0</v>
      </c>
      <c r="E254" s="624">
        <f>IF(D254="Easy Spring Air",1,0)</f>
        <v>0</v>
      </c>
      <c r="F254" t="s">
        <v>1019</v>
      </c>
    </row>
    <row r="255" spans="2:11">
      <c r="B255"/>
      <c r="C255" s="617" t="s">
        <v>263</v>
      </c>
      <c r="D255" s="628">
        <f>i_Tube</f>
        <v>0</v>
      </c>
      <c r="E255" s="625">
        <f>IF(D255=0,0,1)</f>
        <v>0</v>
      </c>
    </row>
    <row r="256" spans="2:11">
      <c r="B256"/>
      <c r="C256" s="617" t="s">
        <v>1009</v>
      </c>
      <c r="D256" s="628">
        <f>i_Fabric</f>
        <v>0</v>
      </c>
      <c r="E256" s="625">
        <f>IF(D256="_Custom Fabric Data",1,0)</f>
        <v>0</v>
      </c>
    </row>
    <row r="257" spans="2:8">
      <c r="B257"/>
      <c r="C257" s="617" t="s">
        <v>468</v>
      </c>
      <c r="D257" s="628">
        <f>i_FThickness_Custom</f>
        <v>0</v>
      </c>
      <c r="E257" s="625">
        <f>IF(D257&lt;&gt;0,1,0)</f>
        <v>0</v>
      </c>
    </row>
    <row r="258" spans="2:8" ht="15" thickBot="1">
      <c r="B258"/>
      <c r="C258" s="618" t="s">
        <v>467</v>
      </c>
      <c r="D258" s="629">
        <f>i_Fdensity_Custom</f>
        <v>0</v>
      </c>
      <c r="E258" s="626">
        <f>IF(D258&lt;&gt;0,1,0)</f>
        <v>0</v>
      </c>
    </row>
    <row r="259" spans="2:8">
      <c r="B259"/>
      <c r="C259" s="617" t="s">
        <v>1008</v>
      </c>
      <c r="D259" s="628" t="str">
        <f ca="1">o_BoosterType</f>
        <v>No suitable options.</v>
      </c>
      <c r="E259" s="625">
        <f ca="1">IF(D259="No Suitable Options.",0,1)</f>
        <v>0</v>
      </c>
      <c r="F259" t="s">
        <v>1020</v>
      </c>
    </row>
    <row r="260" spans="2:8" ht="15" thickBot="1">
      <c r="B260"/>
      <c r="C260" s="544"/>
      <c r="D260" s="27"/>
      <c r="E260" s="631"/>
    </row>
    <row r="261" spans="2:8" ht="91" customHeight="1" thickBot="1">
      <c r="B261"/>
      <c r="C261" s="544" t="s">
        <v>1010</v>
      </c>
      <c r="D261" s="781">
        <f ca="1">IF(AND(PRODUCT(E254:E258)=1,E259=0),1,0)</f>
        <v>0</v>
      </c>
      <c r="E261" s="782"/>
      <c r="F261" t="s">
        <v>1021</v>
      </c>
    </row>
    <row r="262" spans="2:8" ht="15" thickBot="1">
      <c r="C262" s="623" t="s">
        <v>1011</v>
      </c>
      <c r="D262" s="779" t="s">
        <v>1022</v>
      </c>
      <c r="E262" s="780"/>
    </row>
    <row r="263" spans="2:8">
      <c r="B263"/>
    </row>
    <row r="264" spans="2:8" ht="15" thickBot="1">
      <c r="B264"/>
    </row>
    <row r="265" spans="2:8">
      <c r="B265"/>
      <c r="C265" s="760" t="s">
        <v>1058</v>
      </c>
      <c r="D265" s="761"/>
      <c r="E265" s="762"/>
      <c r="F265" s="5"/>
    </row>
    <row r="266" spans="2:8">
      <c r="B266"/>
      <c r="C266" s="6" t="s">
        <v>263</v>
      </c>
      <c r="D266" s="7" t="s">
        <v>245</v>
      </c>
      <c r="E266" s="209" t="s">
        <v>16</v>
      </c>
      <c r="F266" s="211" t="s">
        <v>12</v>
      </c>
      <c r="G266" t="s">
        <v>270</v>
      </c>
    </row>
    <row r="267" spans="2:8">
      <c r="B267"/>
      <c r="C267" s="9" t="s">
        <v>1059</v>
      </c>
      <c r="D267" s="11" t="s">
        <v>420</v>
      </c>
      <c r="E267" s="206" t="s">
        <v>1045</v>
      </c>
      <c r="F267" s="22">
        <f t="shared" ref="F267" si="46">F271-$F$156</f>
        <v>0</v>
      </c>
    </row>
    <row r="268" spans="2:8">
      <c r="B268"/>
      <c r="C268" s="37" t="s">
        <v>1059</v>
      </c>
      <c r="D268" s="39" t="s">
        <v>266</v>
      </c>
      <c r="E268" s="247" t="s">
        <v>1047</v>
      </c>
      <c r="F268" s="643">
        <v>-51</v>
      </c>
    </row>
    <row r="269" spans="2:8">
      <c r="B269"/>
      <c r="C269" s="13" t="s">
        <v>1060</v>
      </c>
      <c r="D269" s="39" t="s">
        <v>266</v>
      </c>
      <c r="E269" s="207" t="s">
        <v>1046</v>
      </c>
      <c r="F269" s="139">
        <v>-97</v>
      </c>
    </row>
    <row r="270" spans="2:8" ht="15" thickBot="1">
      <c r="C270" s="16"/>
      <c r="D270" s="17"/>
      <c r="E270" s="17"/>
      <c r="F270" s="138"/>
    </row>
    <row r="271" spans="2:8">
      <c r="B271"/>
    </row>
    <row r="272" spans="2:8" ht="15" thickBot="1">
      <c r="B272"/>
      <c r="H272" t="s">
        <v>1042</v>
      </c>
    </row>
    <row r="273" spans="2:8" ht="16" thickBot="1">
      <c r="B273"/>
      <c r="F273" s="641" t="s">
        <v>1057</v>
      </c>
      <c r="G273" s="642" t="s">
        <v>1045</v>
      </c>
      <c r="H273" t="s">
        <v>1043</v>
      </c>
    </row>
    <row r="274" spans="2:8" ht="15" thickBot="1">
      <c r="B274"/>
    </row>
    <row r="275" spans="2:8" ht="15" thickBot="1">
      <c r="B275"/>
      <c r="C275" s="758" t="s">
        <v>1044</v>
      </c>
      <c r="D275" s="759"/>
      <c r="E275" s="759"/>
      <c r="F275" s="634" t="s">
        <v>12</v>
      </c>
      <c r="G275" s="543"/>
    </row>
    <row r="276" spans="2:8">
      <c r="B276"/>
      <c r="C276" s="635" t="s">
        <v>32</v>
      </c>
      <c r="D276" s="636" t="s">
        <v>16</v>
      </c>
      <c r="E276" s="542" t="s">
        <v>1045</v>
      </c>
      <c r="F276" s="542" t="s">
        <v>1046</v>
      </c>
      <c r="G276" s="637" t="s">
        <v>1047</v>
      </c>
    </row>
    <row r="277" spans="2:8">
      <c r="B277"/>
      <c r="C277" s="544"/>
      <c r="D277" t="s">
        <v>1048</v>
      </c>
      <c r="E277" s="1">
        <v>498</v>
      </c>
      <c r="F277">
        <v>400</v>
      </c>
      <c r="G277" s="545">
        <v>447</v>
      </c>
    </row>
    <row r="278" spans="2:8">
      <c r="B278"/>
      <c r="C278" s="544"/>
      <c r="D278" t="s">
        <v>1049</v>
      </c>
      <c r="E278" s="1">
        <v>700</v>
      </c>
      <c r="F278">
        <v>600</v>
      </c>
      <c r="G278" s="545">
        <v>649</v>
      </c>
    </row>
    <row r="279" spans="2:8">
      <c r="B279"/>
      <c r="C279" s="544"/>
      <c r="D279" t="s">
        <v>1050</v>
      </c>
      <c r="E279" s="1">
        <v>498</v>
      </c>
      <c r="F279">
        <v>400</v>
      </c>
      <c r="G279" s="545">
        <v>447</v>
      </c>
    </row>
    <row r="280" spans="2:8">
      <c r="B280"/>
      <c r="C280" s="544"/>
      <c r="D280" t="s">
        <v>1051</v>
      </c>
      <c r="E280" s="1">
        <v>700</v>
      </c>
      <c r="F280">
        <v>600</v>
      </c>
      <c r="G280" s="545">
        <v>649</v>
      </c>
    </row>
    <row r="281" spans="2:8">
      <c r="B281"/>
      <c r="C281" s="544"/>
      <c r="D281" t="s">
        <v>1052</v>
      </c>
      <c r="E281" s="1">
        <v>1010</v>
      </c>
      <c r="F281">
        <v>913</v>
      </c>
      <c r="G281" s="545">
        <v>959</v>
      </c>
    </row>
    <row r="282" spans="2:8">
      <c r="B282"/>
      <c r="C282" s="544"/>
      <c r="D282" t="s">
        <v>1053</v>
      </c>
      <c r="E282" s="1">
        <v>1110</v>
      </c>
      <c r="F282">
        <v>1013</v>
      </c>
      <c r="G282" s="545">
        <v>1059</v>
      </c>
    </row>
    <row r="283" spans="2:8">
      <c r="B283"/>
      <c r="C283" s="544"/>
      <c r="E283" s="1"/>
      <c r="G283" s="545"/>
    </row>
    <row r="284" spans="2:8" ht="15" thickBot="1">
      <c r="B284"/>
      <c r="C284" s="547"/>
      <c r="D284" s="548"/>
      <c r="E284" s="638"/>
      <c r="F284" s="548"/>
      <c r="G284" s="549"/>
    </row>
    <row r="285" spans="2:8">
      <c r="F285" s="1"/>
    </row>
    <row r="286" spans="2:8">
      <c r="B286"/>
    </row>
    <row r="287" spans="2:8" ht="29">
      <c r="B287"/>
      <c r="F287" s="639" t="s">
        <v>1054</v>
      </c>
      <c r="G287" s="639" t="s">
        <v>1055</v>
      </c>
      <c r="H287" s="639" t="s">
        <v>1056</v>
      </c>
    </row>
    <row r="288" spans="2:8">
      <c r="B288"/>
      <c r="F288" s="640">
        <v>498</v>
      </c>
      <c r="G288" s="640">
        <v>400</v>
      </c>
      <c r="H288" s="640">
        <v>447</v>
      </c>
    </row>
    <row r="289" spans="2:8">
      <c r="B289"/>
      <c r="F289" s="640">
        <v>700</v>
      </c>
      <c r="G289" s="640">
        <v>600</v>
      </c>
      <c r="H289" s="640">
        <v>649</v>
      </c>
    </row>
    <row r="290" spans="2:8">
      <c r="B290"/>
      <c r="F290" s="640">
        <v>498</v>
      </c>
      <c r="G290" s="640">
        <v>400</v>
      </c>
      <c r="H290" s="640">
        <v>447</v>
      </c>
    </row>
    <row r="291" spans="2:8">
      <c r="B291"/>
      <c r="F291" s="640">
        <v>700</v>
      </c>
      <c r="G291" s="640">
        <v>600</v>
      </c>
      <c r="H291" s="640">
        <v>649</v>
      </c>
    </row>
    <row r="292" spans="2:8">
      <c r="B292"/>
      <c r="F292" s="640">
        <v>1010</v>
      </c>
      <c r="G292" s="640">
        <v>913</v>
      </c>
      <c r="H292" s="640">
        <v>959</v>
      </c>
    </row>
    <row r="293" spans="2:8">
      <c r="F293" s="640">
        <v>1110</v>
      </c>
      <c r="G293" s="640">
        <v>1013</v>
      </c>
      <c r="H293" s="640">
        <v>1059</v>
      </c>
    </row>
    <row r="299" spans="2:8">
      <c r="B299"/>
    </row>
    <row r="300" spans="2:8">
      <c r="B300"/>
      <c r="C300" s="190" t="s">
        <v>1069</v>
      </c>
      <c r="E300" s="190" t="b">
        <f ca="1">AND(D301:D302)</f>
        <v>0</v>
      </c>
    </row>
    <row r="301" spans="2:8">
      <c r="B301"/>
      <c r="C301" t="s">
        <v>1070</v>
      </c>
      <c r="D301" t="b">
        <f ca="1">IFERROR(ERROR.TYPE(_SpringData_L0!R4)=5,FALSE)</f>
        <v>0</v>
      </c>
    </row>
    <row r="302" spans="2:8">
      <c r="C302" t="s">
        <v>1071</v>
      </c>
      <c r="D302" t="b">
        <f ca="1">IFERROR(ERROR.TYPE(_SpringData_L1!H6)=5,FALSE)</f>
        <v>0</v>
      </c>
    </row>
  </sheetData>
  <sortState xmlns:xlrd2="http://schemas.microsoft.com/office/spreadsheetml/2017/richdata2" ref="F81:J89">
    <sortCondition ref="H81:H89"/>
  </sortState>
  <mergeCells count="18">
    <mergeCell ref="AP12:AT12"/>
    <mergeCell ref="C43:F43"/>
    <mergeCell ref="C158:F158"/>
    <mergeCell ref="C78:F78"/>
    <mergeCell ref="C115:F115"/>
    <mergeCell ref="C150:F150"/>
    <mergeCell ref="C275:E275"/>
    <mergeCell ref="C265:E265"/>
    <mergeCell ref="Q9:R9"/>
    <mergeCell ref="C3:F3"/>
    <mergeCell ref="C4:F4"/>
    <mergeCell ref="C5:F5"/>
    <mergeCell ref="C7:F7"/>
    <mergeCell ref="C6:F6"/>
    <mergeCell ref="D262:E262"/>
    <mergeCell ref="D261:E261"/>
    <mergeCell ref="C240:D240"/>
    <mergeCell ref="C211:F211"/>
  </mergeCells>
  <phoneticPr fontId="32" type="noConversion"/>
  <conditionalFormatting sqref="S15:S38">
    <cfRule type="expression" dxfId="133" priority="10">
      <formula>$S15&lt;(Deflection_limit*$S$7)*Design_Width_MAX</formula>
    </cfRule>
    <cfRule type="expression" dxfId="132" priority="12">
      <formula>$S15&lt;(Deflection_limit*Design_Width_MAX)</formula>
    </cfRule>
  </conditionalFormatting>
  <conditionalFormatting sqref="AJ15:AJ38">
    <cfRule type="dataBar" priority="11">
      <dataBar>
        <cfvo type="min"/>
        <cfvo type="max"/>
        <color rgb="FF63C384"/>
      </dataBar>
      <extLst>
        <ext xmlns:x14="http://schemas.microsoft.com/office/spreadsheetml/2009/9/main" uri="{B025F937-C7B1-47D3-B67F-A62EFF666E3E}">
          <x14:id>{2D4B8A22-13E6-4E45-BBD6-8DED05222551}</x14:id>
        </ext>
      </extLst>
    </cfRule>
  </conditionalFormatting>
  <conditionalFormatting sqref="D261:E261">
    <cfRule type="cellIs" dxfId="131" priority="6" operator="between">
      <formula>0</formula>
      <formula>0</formula>
    </cfRule>
    <cfRule type="cellIs" dxfId="130" priority="7" operator="between">
      <formula>1</formula>
      <formula>1</formula>
    </cfRule>
  </conditionalFormatting>
  <conditionalFormatting sqref="G273">
    <cfRule type="expression" dxfId="129" priority="1">
      <formula>i_Units="Imperial"</formula>
    </cfRule>
    <cfRule type="expression" dxfId="128" priority="2">
      <formula>i_Units="Metric"</formula>
    </cfRule>
  </conditionalFormatting>
  <conditionalFormatting sqref="H15:H38">
    <cfRule type="expression" dxfId="127" priority="3005">
      <formula>IFERROR(IF(HLOOKUP(H15,$W$116:$AT$116,1,FALSE)&lt;&gt;"",1,0),0)</formula>
    </cfRule>
  </conditionalFormatting>
  <conditionalFormatting sqref="O15:O38">
    <cfRule type="dataBar" priority="3006">
      <dataBar>
        <cfvo type="min"/>
        <cfvo type="max"/>
        <color rgb="FF63C384"/>
      </dataBar>
      <extLst>
        <ext xmlns:x14="http://schemas.microsoft.com/office/spreadsheetml/2009/9/main" uri="{B025F937-C7B1-47D3-B67F-A62EFF666E3E}">
          <x14:id>{0AACB310-EE80-4A2B-B6B6-A3FFA6EB81BF}</x14:id>
        </ext>
      </extLst>
    </cfRule>
  </conditionalFormatting>
  <conditionalFormatting sqref="F117:F146">
    <cfRule type="expression" dxfId="126" priority="3011">
      <formula>IFERROR(IF(HLOOKUP(F117,$Q$159:$AU$159,1,FALSE)&lt;&gt;"",1,0),0)</formula>
    </cfRule>
  </conditionalFormatting>
  <conditionalFormatting sqref="H107:H109 H80:H92">
    <cfRule type="dataBar" priority="3012">
      <dataBar>
        <cfvo type="min"/>
        <cfvo type="max"/>
        <color rgb="FF638EC6"/>
      </dataBar>
      <extLst>
        <ext xmlns:x14="http://schemas.microsoft.com/office/spreadsheetml/2009/9/main" uri="{B025F937-C7B1-47D3-B67F-A62EFF666E3E}">
          <x14:id>{1FBB5661-B867-4485-AC7B-77E1C10F56A7}</x14:id>
        </ext>
      </extLst>
    </cfRule>
  </conditionalFormatting>
  <dataValidations disablePrompts="1" count="1">
    <dataValidation type="list" allowBlank="1" showInputMessage="1" showErrorMessage="1" sqref="G273" xr:uid="{5E59A5B0-E502-4189-B99C-90CF5C7FB212}">
      <formula1>L_Idler</formula1>
    </dataValidation>
  </dataValidations>
  <pageMargins left="0.7" right="0.7" top="0.75" bottom="0.75" header="0.3" footer="0.3"/>
  <pageSetup paperSize="9" orientation="portrait" r:id="rId1"/>
  <legacyDrawing r:id="rId2"/>
  <tableParts count="10">
    <tablePart r:id="rId3"/>
    <tablePart r:id="rId4"/>
    <tablePart r:id="rId5"/>
    <tablePart r:id="rId6"/>
    <tablePart r:id="rId7"/>
    <tablePart r:id="rId8"/>
    <tablePart r:id="rId9"/>
    <tablePart r:id="rId10"/>
    <tablePart r:id="rId11"/>
    <tablePart r:id="rId12"/>
  </tableParts>
  <extLst>
    <ext xmlns:x14="http://schemas.microsoft.com/office/spreadsheetml/2009/9/main" uri="{78C0D931-6437-407d-A8EE-F0AAD7539E65}">
      <x14:conditionalFormattings>
        <x14:conditionalFormatting xmlns:xm="http://schemas.microsoft.com/office/excel/2006/main">
          <x14:cfRule type="dataBar" id="{2D4B8A22-13E6-4E45-BBD6-8DED05222551}">
            <x14:dataBar minLength="0" maxLength="100" border="1" negativeBarBorderColorSameAsPositive="0">
              <x14:cfvo type="autoMin"/>
              <x14:cfvo type="autoMax"/>
              <x14:borderColor rgb="FF63C384"/>
              <x14:negativeFillColor rgb="FFFF0000"/>
              <x14:negativeBorderColor rgb="FFFF0000"/>
              <x14:axisColor rgb="FF000000"/>
            </x14:dataBar>
          </x14:cfRule>
          <xm:sqref>AJ15:AJ38</xm:sqref>
        </x14:conditionalFormatting>
        <x14:conditionalFormatting xmlns:xm="http://schemas.microsoft.com/office/excel/2006/main">
          <x14:cfRule type="dataBar" id="{0AACB310-EE80-4A2B-B6B6-A3FFA6EB81BF}">
            <x14:dataBar minLength="0" maxLength="100" border="1" negativeBarBorderColorSameAsPositive="0">
              <x14:cfvo type="autoMin"/>
              <x14:cfvo type="autoMax"/>
              <x14:borderColor rgb="FF63C384"/>
              <x14:negativeFillColor rgb="FFFF0000"/>
              <x14:negativeBorderColor rgb="FFFF0000"/>
              <x14:axisColor rgb="FF000000"/>
            </x14:dataBar>
          </x14:cfRule>
          <xm:sqref>O15:O38</xm:sqref>
        </x14:conditionalFormatting>
        <x14:conditionalFormatting xmlns:xm="http://schemas.microsoft.com/office/excel/2006/main">
          <x14:cfRule type="dataBar" id="{1FBB5661-B867-4485-AC7B-77E1C10F56A7}">
            <x14:dataBar minLength="0" maxLength="100" gradient="0">
              <x14:cfvo type="autoMin"/>
              <x14:cfvo type="autoMax"/>
              <x14:negativeFillColor rgb="FFFF0000"/>
              <x14:axisColor rgb="FF000000"/>
            </x14:dataBar>
          </x14:cfRule>
          <xm:sqref>H107:H109 H80:H92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8FB12-9AAE-4358-9337-09F564A02FD7}">
  <sheetPr codeName="Sheet12"/>
  <dimension ref="K7:CB27"/>
  <sheetViews>
    <sheetView showGridLines="0" showRowColHeaders="0" showRuler="0" workbookViewId="0"/>
  </sheetViews>
  <sheetFormatPr defaultRowHeight="14.5"/>
  <sheetData>
    <row r="7" spans="11:80">
      <c r="K7" t="s">
        <v>263</v>
      </c>
      <c r="L7">
        <f>i_Tube</f>
        <v>0</v>
      </c>
    </row>
    <row r="10" spans="11:80">
      <c r="K10" t="s">
        <v>967</v>
      </c>
      <c r="AI10" t="s">
        <v>965</v>
      </c>
      <c r="BG10" t="s">
        <v>966</v>
      </c>
    </row>
    <row r="11" spans="11:80">
      <c r="K11" t="str">
        <f t="shared" ref="K11:K27" si="0">AI11</f>
        <v>m</v>
      </c>
      <c r="L11">
        <f>AJ11</f>
        <v>0.6</v>
      </c>
      <c r="M11">
        <f t="shared" ref="M11:AF11" si="1">AK11</f>
        <v>0.8</v>
      </c>
      <c r="N11">
        <f t="shared" si="1"/>
        <v>1</v>
      </c>
      <c r="O11">
        <f t="shared" si="1"/>
        <v>1.2</v>
      </c>
      <c r="P11">
        <f t="shared" si="1"/>
        <v>1.4</v>
      </c>
      <c r="Q11">
        <f t="shared" si="1"/>
        <v>1.6</v>
      </c>
      <c r="R11">
        <f t="shared" si="1"/>
        <v>1.8</v>
      </c>
      <c r="S11">
        <f t="shared" si="1"/>
        <v>2</v>
      </c>
      <c r="T11">
        <f t="shared" si="1"/>
        <v>2.2000000000000002</v>
      </c>
      <c r="U11">
        <f t="shared" si="1"/>
        <v>2.4</v>
      </c>
      <c r="V11">
        <f t="shared" si="1"/>
        <v>2.6</v>
      </c>
      <c r="W11">
        <f t="shared" si="1"/>
        <v>2.8</v>
      </c>
      <c r="X11">
        <f t="shared" si="1"/>
        <v>3</v>
      </c>
      <c r="Y11">
        <f t="shared" si="1"/>
        <v>3.2</v>
      </c>
      <c r="Z11">
        <f t="shared" si="1"/>
        <v>3.4</v>
      </c>
      <c r="AA11">
        <f t="shared" si="1"/>
        <v>3.6</v>
      </c>
      <c r="AB11">
        <f t="shared" si="1"/>
        <v>3.8</v>
      </c>
      <c r="AC11">
        <f t="shared" si="1"/>
        <v>4</v>
      </c>
      <c r="AD11">
        <f t="shared" si="1"/>
        <v>4.2</v>
      </c>
      <c r="AE11">
        <f t="shared" si="1"/>
        <v>4.4000000000000004</v>
      </c>
      <c r="AF11">
        <f t="shared" si="1"/>
        <v>4.5999999999999996</v>
      </c>
      <c r="AI11" t="str">
        <f>BG11</f>
        <v>m</v>
      </c>
      <c r="AJ11">
        <f t="shared" ref="AJ11:BD11" si="2">BH11</f>
        <v>0.6</v>
      </c>
      <c r="AK11">
        <f t="shared" si="2"/>
        <v>0.8</v>
      </c>
      <c r="AL11">
        <f t="shared" si="2"/>
        <v>1</v>
      </c>
      <c r="AM11">
        <f t="shared" si="2"/>
        <v>1.2</v>
      </c>
      <c r="AN11">
        <f t="shared" si="2"/>
        <v>1.4</v>
      </c>
      <c r="AO11">
        <f t="shared" si="2"/>
        <v>1.6</v>
      </c>
      <c r="AP11">
        <f t="shared" si="2"/>
        <v>1.8</v>
      </c>
      <c r="AQ11">
        <f t="shared" si="2"/>
        <v>2</v>
      </c>
      <c r="AR11">
        <f t="shared" si="2"/>
        <v>2.2000000000000002</v>
      </c>
      <c r="AS11">
        <f t="shared" si="2"/>
        <v>2.4</v>
      </c>
      <c r="AT11">
        <f t="shared" si="2"/>
        <v>2.6</v>
      </c>
      <c r="AU11">
        <f t="shared" si="2"/>
        <v>2.8</v>
      </c>
      <c r="AV11">
        <f t="shared" si="2"/>
        <v>3</v>
      </c>
      <c r="AW11">
        <f t="shared" si="2"/>
        <v>3.2</v>
      </c>
      <c r="AX11">
        <f t="shared" si="2"/>
        <v>3.4</v>
      </c>
      <c r="AY11">
        <f t="shared" si="2"/>
        <v>3.6</v>
      </c>
      <c r="AZ11">
        <f t="shared" si="2"/>
        <v>3.8</v>
      </c>
      <c r="BA11">
        <f t="shared" si="2"/>
        <v>4</v>
      </c>
      <c r="BB11">
        <f t="shared" si="2"/>
        <v>4.2</v>
      </c>
      <c r="BC11">
        <f t="shared" si="2"/>
        <v>4.4000000000000004</v>
      </c>
      <c r="BD11">
        <f t="shared" si="2"/>
        <v>4.5999999999999996</v>
      </c>
      <c r="BG11" t="str">
        <f>'2. System Charts'!K11</f>
        <v>m</v>
      </c>
      <c r="BH11">
        <f>'2. System Charts'!L11</f>
        <v>0.6</v>
      </c>
      <c r="BI11">
        <f>'2. System Charts'!M11</f>
        <v>0.8</v>
      </c>
      <c r="BJ11">
        <f>'2. System Charts'!N11</f>
        <v>1</v>
      </c>
      <c r="BK11">
        <f>'2. System Charts'!O11</f>
        <v>1.2</v>
      </c>
      <c r="BL11">
        <f>'2. System Charts'!P11</f>
        <v>1.4</v>
      </c>
      <c r="BM11">
        <f>'2. System Charts'!Q11</f>
        <v>1.6</v>
      </c>
      <c r="BN11">
        <f>'2. System Charts'!R11</f>
        <v>1.8</v>
      </c>
      <c r="BO11">
        <f>'2. System Charts'!S11</f>
        <v>2</v>
      </c>
      <c r="BP11">
        <f>'2. System Charts'!T11</f>
        <v>2.2000000000000002</v>
      </c>
      <c r="BQ11">
        <f>'2. System Charts'!U11</f>
        <v>2.4</v>
      </c>
      <c r="BR11">
        <f>'2. System Charts'!V11</f>
        <v>2.6</v>
      </c>
      <c r="BS11">
        <f>'2. System Charts'!W11</f>
        <v>2.8</v>
      </c>
      <c r="BT11">
        <f>'2. System Charts'!X11</f>
        <v>3</v>
      </c>
      <c r="BU11">
        <f>'2. System Charts'!Y11</f>
        <v>3.2</v>
      </c>
      <c r="BV11">
        <f>'2. System Charts'!Z11</f>
        <v>3.4</v>
      </c>
      <c r="BW11">
        <f>'2. System Charts'!AA11</f>
        <v>3.6</v>
      </c>
      <c r="BX11">
        <f>'2. System Charts'!AB11</f>
        <v>3.8</v>
      </c>
      <c r="BY11">
        <f>'2. System Charts'!AC11</f>
        <v>4</v>
      </c>
      <c r="BZ11">
        <f>'2. System Charts'!AD11</f>
        <v>4.2</v>
      </c>
      <c r="CA11">
        <f>'2. System Charts'!AE11</f>
        <v>4.4000000000000004</v>
      </c>
      <c r="CB11">
        <f>'2. System Charts'!AF11</f>
        <v>4.5999999999999996</v>
      </c>
    </row>
    <row r="12" spans="11:80">
      <c r="K12">
        <f t="shared" si="0"/>
        <v>0.6</v>
      </c>
      <c r="L12" s="593">
        <f>IF(AND(AJ12=AK12,AJ12=AJ13),0,IF(AND(AJ12&lt;&gt;AK12,AJ12=AJ13),1,IF(AND(AJ12=AK12,AJ12&lt;&gt;AJ13),2,IF(AND(AJ12&lt;&gt;AK12,AJ12&lt;&gt;AK13),3,""))))</f>
        <v>0</v>
      </c>
      <c r="M12" s="593">
        <f t="shared" ref="M12:M27" si="3">IF(AND(AK12=AL12,AK12=AK13),0,IF(AND(AK12&lt;&gt;AL12,AK12=AK13),1,IF(AND(AK12=AL12,AK12&lt;&gt;AK13),2,IF(AND(AK12&lt;&gt;AL12,AK12&lt;&gt;AL13),3,""))))</f>
        <v>0</v>
      </c>
      <c r="N12" s="593">
        <f t="shared" ref="N12:N27" si="4">IF(AND(AL12=AM12,AL12=AL13),0,IF(AND(AL12&lt;&gt;AM12,AL12=AL13),1,IF(AND(AL12=AM12,AL12&lt;&gt;AL13),2,IF(AND(AL12&lt;&gt;AM12,AL12&lt;&gt;AM13),3,""))))</f>
        <v>0</v>
      </c>
      <c r="O12" s="593">
        <f t="shared" ref="O12:O27" si="5">IF(AND(AM12=AN12,AM12=AM13),0,IF(AND(AM12&lt;&gt;AN12,AM12=AM13),1,IF(AND(AM12=AN12,AM12&lt;&gt;AM13),2,IF(AND(AM12&lt;&gt;AN12,AM12&lt;&gt;AN13),3,""))))</f>
        <v>0</v>
      </c>
      <c r="P12" s="593">
        <f t="shared" ref="P12:P27" si="6">IF(AND(AN12=AO12,AN12=AN13),0,IF(AND(AN12&lt;&gt;AO12,AN12=AN13),1,IF(AND(AN12=AO12,AN12&lt;&gt;AN13),2,IF(AND(AN12&lt;&gt;AO12,AN12&lt;&gt;AO13),3,""))))</f>
        <v>0</v>
      </c>
      <c r="Q12" s="593">
        <f t="shared" ref="Q12:Q27" si="7">IF(AND(AO12=AP12,AO12=AO13),0,IF(AND(AO12&lt;&gt;AP12,AO12=AO13),1,IF(AND(AO12=AP12,AO12&lt;&gt;AO13),2,IF(AND(AO12&lt;&gt;AP12,AO12&lt;&gt;AP13),3,""))))</f>
        <v>0</v>
      </c>
      <c r="R12" s="593">
        <f t="shared" ref="R12:R27" si="8">IF(AND(AP12=AQ12,AP12=AP13),0,IF(AND(AP12&lt;&gt;AQ12,AP12=AP13),1,IF(AND(AP12=AQ12,AP12&lt;&gt;AP13),2,IF(AND(AP12&lt;&gt;AQ12,AP12&lt;&gt;AQ13),3,""))))</f>
        <v>0</v>
      </c>
      <c r="S12" s="593">
        <f t="shared" ref="S12:S27" si="9">IF(AND(AQ12=AR12,AQ12=AQ13),0,IF(AND(AQ12&lt;&gt;AR12,AQ12=AQ13),1,IF(AND(AQ12=AR12,AQ12&lt;&gt;AQ13),2,IF(AND(AQ12&lt;&gt;AR12,AQ12&lt;&gt;AR13),3,""))))</f>
        <v>0</v>
      </c>
      <c r="T12" s="593">
        <f t="shared" ref="T12:T27" si="10">IF(AND(AR12=AS12,AR12=AR13),0,IF(AND(AR12&lt;&gt;AS12,AR12=AR13),1,IF(AND(AR12=AS12,AR12&lt;&gt;AR13),2,IF(AND(AR12&lt;&gt;AS12,AR12&lt;&gt;AS13),3,""))))</f>
        <v>0</v>
      </c>
      <c r="U12" s="593">
        <f t="shared" ref="U12:U27" si="11">IF(AND(AS12=AT12,AS12=AS13),0,IF(AND(AS12&lt;&gt;AT12,AS12=AS13),1,IF(AND(AS12=AT12,AS12&lt;&gt;AS13),2,IF(AND(AS12&lt;&gt;AT12,AS12&lt;&gt;AT13),3,""))))</f>
        <v>0</v>
      </c>
      <c r="V12" s="593">
        <f t="shared" ref="V12:V27" si="12">IF(AND(AT12=AU12,AT12=AT13),0,IF(AND(AT12&lt;&gt;AU12,AT12=AT13),1,IF(AND(AT12=AU12,AT12&lt;&gt;AT13),2,IF(AND(AT12&lt;&gt;AU12,AT12&lt;&gt;AU13),3,""))))</f>
        <v>0</v>
      </c>
      <c r="W12" s="593">
        <f t="shared" ref="W12:W27" si="13">IF(AND(AU12=AV12,AU12=AU13),0,IF(AND(AU12&lt;&gt;AV12,AU12=AU13),1,IF(AND(AU12=AV12,AU12&lt;&gt;AU13),2,IF(AND(AU12&lt;&gt;AV12,AU12&lt;&gt;AV13),3,""))))</f>
        <v>0</v>
      </c>
      <c r="X12" s="593">
        <f t="shared" ref="X12:X27" si="14">IF(AND(AV12=AW12,AV12=AV13),0,IF(AND(AV12&lt;&gt;AW12,AV12=AV13),1,IF(AND(AV12=AW12,AV12&lt;&gt;AV13),2,IF(AND(AV12&lt;&gt;AW12,AV12&lt;&gt;AW13),3,""))))</f>
        <v>0</v>
      </c>
      <c r="Y12" s="593">
        <f t="shared" ref="Y12:Y27" si="15">IF(AND(AW12=AX12,AW12=AW13),0,IF(AND(AW12&lt;&gt;AX12,AW12=AW13),1,IF(AND(AW12=AX12,AW12&lt;&gt;AW13),2,IF(AND(AW12&lt;&gt;AX12,AW12&lt;&gt;AX13),3,""))))</f>
        <v>0</v>
      </c>
      <c r="Z12" s="593">
        <f t="shared" ref="Z12:Z27" si="16">IF(AND(AX12=AY12,AX12=AX13),0,IF(AND(AX12&lt;&gt;AY12,AX12=AX13),1,IF(AND(AX12=AY12,AX12&lt;&gt;AX13),2,IF(AND(AX12&lt;&gt;AY12,AX12&lt;&gt;AY13),3,""))))</f>
        <v>0</v>
      </c>
      <c r="AA12" s="593">
        <f t="shared" ref="AA12:AA27" si="17">IF(AND(AY12=AZ12,AY12=AY13),0,IF(AND(AY12&lt;&gt;AZ12,AY12=AY13),1,IF(AND(AY12=AZ12,AY12&lt;&gt;AY13),2,IF(AND(AY12&lt;&gt;AZ12,AY12&lt;&gt;AZ13),3,""))))</f>
        <v>0</v>
      </c>
      <c r="AB12" s="593">
        <f t="shared" ref="AB12:AB27" si="18">IF(AND(AZ12=BA12,AZ12=AZ13),0,IF(AND(AZ12&lt;&gt;BA12,AZ12=AZ13),1,IF(AND(AZ12=BA12,AZ12&lt;&gt;AZ13),2,IF(AND(AZ12&lt;&gt;BA12,AZ12&lt;&gt;BA13),3,""))))</f>
        <v>0</v>
      </c>
      <c r="AC12" s="593">
        <f t="shared" ref="AC12:AC27" si="19">IF(AND(BA12=BB12,BA12=BA13),0,IF(AND(BA12&lt;&gt;BB12,BA12=BA13),1,IF(AND(BA12=BB12,BA12&lt;&gt;BA13),2,IF(AND(BA12&lt;&gt;BB12,BA12&lt;&gt;BB13),3,""))))</f>
        <v>0</v>
      </c>
      <c r="AD12" s="593">
        <f t="shared" ref="AD12:AD27" si="20">IF(AND(BB12=BC12,BB12=BB13),0,IF(AND(BB12&lt;&gt;BC12,BB12=BB13),1,IF(AND(BB12=BC12,BB12&lt;&gt;BB13),2,IF(AND(BB12&lt;&gt;BC12,BB12&lt;&gt;BC13),3,""))))</f>
        <v>0</v>
      </c>
      <c r="AE12" s="593">
        <f t="shared" ref="AE12:AE27" si="21">IF(AND(BC12=BD12,BC12=BC13),0,IF(AND(BC12&lt;&gt;BD12,BC12=BC13),1,IF(AND(BC12=BD12,BC12&lt;&gt;BC13),2,IF(AND(BC12&lt;&gt;BD12,BC12&lt;&gt;BD13),3,""))))</f>
        <v>0</v>
      </c>
      <c r="AF12" s="593">
        <f t="shared" ref="AF12:AF27" si="22">IF(AND(BD12=BE12,BD12=BD13),0,IF(AND(BD12&lt;&gt;BE12,BD12=BD13),1,IF(AND(BD12=BE12,BD12&lt;&gt;BD13),2,IF(AND(BD12&lt;&gt;BE12,BD12&lt;&gt;BE13),3,""))))</f>
        <v>0</v>
      </c>
      <c r="AI12">
        <f t="shared" ref="AI12:AI27" si="23">BG12</f>
        <v>0.6</v>
      </c>
      <c r="AJ12">
        <f t="shared" ref="AJ12:AJ27" si="24">IF(BH12&lt;=BH$11/(1/Deflection_Limit2),1,0)</f>
        <v>0</v>
      </c>
      <c r="AK12">
        <f t="shared" ref="AK12:AK27" si="25">IF(BI12&lt;=BI$11/(1/Deflection_Limit2),1,0)</f>
        <v>0</v>
      </c>
      <c r="AL12">
        <f t="shared" ref="AL12:AL27" si="26">IF(BJ12&lt;=BJ$11/(1/Deflection_Limit2),1,0)</f>
        <v>0</v>
      </c>
      <c r="AM12">
        <f t="shared" ref="AM12:AM27" si="27">IF(BK12&lt;=BK$11/(1/Deflection_Limit2),1,0)</f>
        <v>0</v>
      </c>
      <c r="AN12">
        <f t="shared" ref="AN12:AN27" si="28">IF(BL12&lt;=BL$11/(1/Deflection_Limit2),1,0)</f>
        <v>0</v>
      </c>
      <c r="AO12">
        <f t="shared" ref="AO12:AO27" si="29">IF(BM12&lt;=BM$11/(1/Deflection_Limit2),1,0)</f>
        <v>0</v>
      </c>
      <c r="AP12">
        <f t="shared" ref="AP12:AP27" si="30">IF(BN12&lt;=BN$11/(1/Deflection_Limit2),1,0)</f>
        <v>0</v>
      </c>
      <c r="AQ12">
        <f t="shared" ref="AQ12:AQ27" si="31">IF(BO12&lt;=BO$11/(1/Deflection_Limit2),1,0)</f>
        <v>0</v>
      </c>
      <c r="AR12">
        <f t="shared" ref="AR12:AR27" si="32">IF(BP12&lt;=BP$11/(1/Deflection_Limit2),1,0)</f>
        <v>0</v>
      </c>
      <c r="AS12">
        <f t="shared" ref="AS12:AS27" si="33">IF(BQ12&lt;=BQ$11/(1/Deflection_Limit2),1,0)</f>
        <v>0</v>
      </c>
      <c r="AT12">
        <f t="shared" ref="AT12:AT27" si="34">IF(BR12&lt;=BR$11/(1/Deflection_Limit2),1,0)</f>
        <v>0</v>
      </c>
      <c r="AU12">
        <f t="shared" ref="AU12:AU27" si="35">IF(BS12&lt;=BS$11/(1/Deflection_Limit2),1,0)</f>
        <v>0</v>
      </c>
      <c r="AV12">
        <f t="shared" ref="AV12:AV27" si="36">IF(BT12&lt;=BT$11/(1/Deflection_Limit2),1,0)</f>
        <v>0</v>
      </c>
      <c r="AW12">
        <f t="shared" ref="AW12:AW27" si="37">IF(BU12&lt;=BU$11/(1/Deflection_Limit2),1,0)</f>
        <v>0</v>
      </c>
      <c r="AX12">
        <f t="shared" ref="AX12:AX27" si="38">IF(BV12&lt;=BV$11/(1/Deflection_Limit2),1,0)</f>
        <v>0</v>
      </c>
      <c r="AY12">
        <f t="shared" ref="AY12:AY27" si="39">IF(BW12&lt;=BW$11/(1/Deflection_Limit2),1,0)</f>
        <v>0</v>
      </c>
      <c r="AZ12">
        <f t="shared" ref="AZ12:AZ27" si="40">IF(BX12&lt;=BX$11/(1/Deflection_Limit2),1,0)</f>
        <v>0</v>
      </c>
      <c r="BA12">
        <f t="shared" ref="BA12:BA27" si="41">IF(BY12&lt;=BY$11/(1/Deflection_Limit2),1,0)</f>
        <v>0</v>
      </c>
      <c r="BB12">
        <f t="shared" ref="BB12:BB27" si="42">IF(BZ12&lt;=BZ$11/(1/Deflection_Limit2),1,0)</f>
        <v>0</v>
      </c>
      <c r="BC12">
        <f t="shared" ref="BC12:BC27" si="43">IF(CA12&lt;=CA$11/(1/Deflection_Limit2),1,0)</f>
        <v>0</v>
      </c>
      <c r="BD12">
        <f t="shared" ref="BD12:BD27" si="44">IF(CB12&lt;=CB$11/(1/Deflection_Limit2),1,0)</f>
        <v>0</v>
      </c>
      <c r="BG12">
        <f>'2. System Charts'!K12</f>
        <v>0.6</v>
      </c>
      <c r="BH12" t="str">
        <f>'2. System Charts'!L12</f>
        <v/>
      </c>
      <c r="BI12" t="str">
        <f>'2. System Charts'!M12</f>
        <v/>
      </c>
      <c r="BJ12" t="str">
        <f>'2. System Charts'!N12</f>
        <v/>
      </c>
      <c r="BK12" t="str">
        <f>'2. System Charts'!O12</f>
        <v/>
      </c>
      <c r="BL12" t="str">
        <f>'2. System Charts'!P12</f>
        <v/>
      </c>
      <c r="BM12" t="str">
        <f>'2. System Charts'!Q12</f>
        <v/>
      </c>
      <c r="BN12" t="str">
        <f>'2. System Charts'!R12</f>
        <v/>
      </c>
      <c r="BO12" t="str">
        <f>'2. System Charts'!S12</f>
        <v/>
      </c>
      <c r="BP12" t="str">
        <f>'2. System Charts'!T12</f>
        <v/>
      </c>
      <c r="BQ12" t="str">
        <f>'2. System Charts'!U12</f>
        <v/>
      </c>
      <c r="BR12" t="str">
        <f>'2. System Charts'!V12</f>
        <v/>
      </c>
      <c r="BS12" t="str">
        <f>'2. System Charts'!W12</f>
        <v/>
      </c>
      <c r="BT12" t="str">
        <f>'2. System Charts'!X12</f>
        <v/>
      </c>
      <c r="BU12" t="str">
        <f>'2. System Charts'!Y12</f>
        <v/>
      </c>
      <c r="BV12" t="str">
        <f>'2. System Charts'!Z12</f>
        <v/>
      </c>
      <c r="BW12" t="str">
        <f>'2. System Charts'!AA12</f>
        <v/>
      </c>
      <c r="BX12" t="str">
        <f>'2. System Charts'!AB12</f>
        <v/>
      </c>
      <c r="BY12" t="str">
        <f>'2. System Charts'!AC12</f>
        <v/>
      </c>
      <c r="BZ12" t="str">
        <f>'2. System Charts'!AD12</f>
        <v/>
      </c>
      <c r="CA12" t="str">
        <f>'2. System Charts'!AE12</f>
        <v/>
      </c>
      <c r="CB12" t="str">
        <f>'2. System Charts'!AF12</f>
        <v/>
      </c>
    </row>
    <row r="13" spans="11:80">
      <c r="K13">
        <f t="shared" si="0"/>
        <v>0.8</v>
      </c>
      <c r="L13" s="593">
        <f t="shared" ref="L13:L27" si="45">IF(AND(AJ13=AK13,AJ13=AJ14),0,IF(AND(AJ13&lt;&gt;AK13,AJ13=AJ14),1,IF(AND(AJ13=AK13,AJ13&lt;&gt;AJ14),2,IF(AND(AJ13&lt;&gt;AK13,AJ13&lt;&gt;AK14),3,""))))</f>
        <v>0</v>
      </c>
      <c r="M13" s="593">
        <f t="shared" si="3"/>
        <v>0</v>
      </c>
      <c r="N13" s="593">
        <f t="shared" si="4"/>
        <v>0</v>
      </c>
      <c r="O13" s="593">
        <f t="shared" si="5"/>
        <v>0</v>
      </c>
      <c r="P13" s="593">
        <f t="shared" si="6"/>
        <v>0</v>
      </c>
      <c r="Q13" s="593">
        <f t="shared" si="7"/>
        <v>0</v>
      </c>
      <c r="R13" s="593">
        <f t="shared" si="8"/>
        <v>0</v>
      </c>
      <c r="S13" s="593">
        <f t="shared" si="9"/>
        <v>0</v>
      </c>
      <c r="T13" s="593">
        <f t="shared" si="10"/>
        <v>0</v>
      </c>
      <c r="U13" s="593">
        <f t="shared" si="11"/>
        <v>0</v>
      </c>
      <c r="V13" s="593">
        <f t="shared" si="12"/>
        <v>0</v>
      </c>
      <c r="W13" s="593">
        <f t="shared" si="13"/>
        <v>0</v>
      </c>
      <c r="X13" s="593">
        <f t="shared" si="14"/>
        <v>0</v>
      </c>
      <c r="Y13" s="593">
        <f t="shared" si="15"/>
        <v>0</v>
      </c>
      <c r="Z13" s="593">
        <f t="shared" si="16"/>
        <v>0</v>
      </c>
      <c r="AA13" s="593">
        <f t="shared" si="17"/>
        <v>0</v>
      </c>
      <c r="AB13" s="593">
        <f t="shared" si="18"/>
        <v>0</v>
      </c>
      <c r="AC13" s="593">
        <f t="shared" si="19"/>
        <v>0</v>
      </c>
      <c r="AD13" s="593">
        <f t="shared" si="20"/>
        <v>0</v>
      </c>
      <c r="AE13" s="593">
        <f t="shared" si="21"/>
        <v>0</v>
      </c>
      <c r="AF13" s="593">
        <f t="shared" si="22"/>
        <v>0</v>
      </c>
      <c r="AI13">
        <f t="shared" si="23"/>
        <v>0.8</v>
      </c>
      <c r="AJ13">
        <f t="shared" si="24"/>
        <v>0</v>
      </c>
      <c r="AK13">
        <f t="shared" si="25"/>
        <v>0</v>
      </c>
      <c r="AL13">
        <f t="shared" si="26"/>
        <v>0</v>
      </c>
      <c r="AM13">
        <f t="shared" si="27"/>
        <v>0</v>
      </c>
      <c r="AN13">
        <f t="shared" si="28"/>
        <v>0</v>
      </c>
      <c r="AO13">
        <f t="shared" si="29"/>
        <v>0</v>
      </c>
      <c r="AP13">
        <f t="shared" si="30"/>
        <v>0</v>
      </c>
      <c r="AQ13">
        <f t="shared" si="31"/>
        <v>0</v>
      </c>
      <c r="AR13">
        <f t="shared" si="32"/>
        <v>0</v>
      </c>
      <c r="AS13">
        <f t="shared" si="33"/>
        <v>0</v>
      </c>
      <c r="AT13">
        <f t="shared" si="34"/>
        <v>0</v>
      </c>
      <c r="AU13">
        <f t="shared" si="35"/>
        <v>0</v>
      </c>
      <c r="AV13">
        <f t="shared" si="36"/>
        <v>0</v>
      </c>
      <c r="AW13">
        <f t="shared" si="37"/>
        <v>0</v>
      </c>
      <c r="AX13">
        <f t="shared" si="38"/>
        <v>0</v>
      </c>
      <c r="AY13">
        <f t="shared" si="39"/>
        <v>0</v>
      </c>
      <c r="AZ13">
        <f t="shared" si="40"/>
        <v>0</v>
      </c>
      <c r="BA13">
        <f t="shared" si="41"/>
        <v>0</v>
      </c>
      <c r="BB13">
        <f t="shared" si="42"/>
        <v>0</v>
      </c>
      <c r="BC13">
        <f t="shared" si="43"/>
        <v>0</v>
      </c>
      <c r="BD13">
        <f t="shared" si="44"/>
        <v>0</v>
      </c>
      <c r="BG13">
        <f>'2. System Charts'!K13</f>
        <v>0.8</v>
      </c>
      <c r="BH13" t="str">
        <f>'2. System Charts'!L13</f>
        <v/>
      </c>
      <c r="BI13" t="str">
        <f>'2. System Charts'!M13</f>
        <v/>
      </c>
      <c r="BJ13" t="str">
        <f>'2. System Charts'!N13</f>
        <v/>
      </c>
      <c r="BK13" t="str">
        <f>'2. System Charts'!O13</f>
        <v/>
      </c>
      <c r="BL13" t="str">
        <f>'2. System Charts'!P13</f>
        <v/>
      </c>
      <c r="BM13" t="str">
        <f>'2. System Charts'!Q13</f>
        <v/>
      </c>
      <c r="BN13" t="str">
        <f>'2. System Charts'!R13</f>
        <v/>
      </c>
      <c r="BO13" t="str">
        <f>'2. System Charts'!S13</f>
        <v/>
      </c>
      <c r="BP13" t="str">
        <f>'2. System Charts'!T13</f>
        <v/>
      </c>
      <c r="BQ13" t="str">
        <f>'2. System Charts'!U13</f>
        <v/>
      </c>
      <c r="BR13" t="str">
        <f>'2. System Charts'!V13</f>
        <v/>
      </c>
      <c r="BS13" t="str">
        <f>'2. System Charts'!W13</f>
        <v/>
      </c>
      <c r="BT13" t="str">
        <f>'2. System Charts'!X13</f>
        <v/>
      </c>
      <c r="BU13" t="str">
        <f>'2. System Charts'!Y13</f>
        <v/>
      </c>
      <c r="BV13" t="str">
        <f>'2. System Charts'!Z13</f>
        <v/>
      </c>
      <c r="BW13" t="str">
        <f>'2. System Charts'!AA13</f>
        <v/>
      </c>
      <c r="BX13" t="str">
        <f>'2. System Charts'!AB13</f>
        <v/>
      </c>
      <c r="BY13" t="str">
        <f>'2. System Charts'!AC13</f>
        <v/>
      </c>
      <c r="BZ13" t="str">
        <f>'2. System Charts'!AD13</f>
        <v/>
      </c>
      <c r="CA13" t="str">
        <f>'2. System Charts'!AE13</f>
        <v/>
      </c>
      <c r="CB13" t="str">
        <f>'2. System Charts'!AF13</f>
        <v/>
      </c>
    </row>
    <row r="14" spans="11:80">
      <c r="K14">
        <f t="shared" si="0"/>
        <v>1</v>
      </c>
      <c r="L14" s="593">
        <f t="shared" si="45"/>
        <v>0</v>
      </c>
      <c r="M14" s="593">
        <f t="shared" si="3"/>
        <v>0</v>
      </c>
      <c r="N14" s="593">
        <f t="shared" si="4"/>
        <v>0</v>
      </c>
      <c r="O14" s="593">
        <f t="shared" si="5"/>
        <v>0</v>
      </c>
      <c r="P14" s="593">
        <f t="shared" si="6"/>
        <v>0</v>
      </c>
      <c r="Q14" s="593">
        <f t="shared" si="7"/>
        <v>0</v>
      </c>
      <c r="R14" s="593">
        <f t="shared" si="8"/>
        <v>0</v>
      </c>
      <c r="S14" s="593">
        <f t="shared" si="9"/>
        <v>0</v>
      </c>
      <c r="T14" s="593">
        <f t="shared" si="10"/>
        <v>0</v>
      </c>
      <c r="U14" s="593">
        <f t="shared" si="11"/>
        <v>0</v>
      </c>
      <c r="V14" s="593">
        <f t="shared" si="12"/>
        <v>0</v>
      </c>
      <c r="W14" s="593">
        <f t="shared" si="13"/>
        <v>0</v>
      </c>
      <c r="X14" s="593">
        <f t="shared" si="14"/>
        <v>0</v>
      </c>
      <c r="Y14" s="593">
        <f t="shared" si="15"/>
        <v>0</v>
      </c>
      <c r="Z14" s="593">
        <f t="shared" si="16"/>
        <v>0</v>
      </c>
      <c r="AA14" s="593">
        <f t="shared" si="17"/>
        <v>0</v>
      </c>
      <c r="AB14" s="593">
        <f t="shared" si="18"/>
        <v>0</v>
      </c>
      <c r="AC14" s="593">
        <f t="shared" si="19"/>
        <v>0</v>
      </c>
      <c r="AD14" s="593">
        <f t="shared" si="20"/>
        <v>0</v>
      </c>
      <c r="AE14" s="593">
        <f t="shared" si="21"/>
        <v>0</v>
      </c>
      <c r="AF14" s="593">
        <f t="shared" si="22"/>
        <v>0</v>
      </c>
      <c r="AI14">
        <f t="shared" si="23"/>
        <v>1</v>
      </c>
      <c r="AJ14">
        <f t="shared" si="24"/>
        <v>0</v>
      </c>
      <c r="AK14">
        <f t="shared" si="25"/>
        <v>0</v>
      </c>
      <c r="AL14">
        <f t="shared" si="26"/>
        <v>0</v>
      </c>
      <c r="AM14">
        <f t="shared" si="27"/>
        <v>0</v>
      </c>
      <c r="AN14">
        <f t="shared" si="28"/>
        <v>0</v>
      </c>
      <c r="AO14">
        <f t="shared" si="29"/>
        <v>0</v>
      </c>
      <c r="AP14">
        <f t="shared" si="30"/>
        <v>0</v>
      </c>
      <c r="AQ14">
        <f t="shared" si="31"/>
        <v>0</v>
      </c>
      <c r="AR14">
        <f t="shared" si="32"/>
        <v>0</v>
      </c>
      <c r="AS14">
        <f t="shared" si="33"/>
        <v>0</v>
      </c>
      <c r="AT14">
        <f t="shared" si="34"/>
        <v>0</v>
      </c>
      <c r="AU14">
        <f t="shared" si="35"/>
        <v>0</v>
      </c>
      <c r="AV14">
        <f t="shared" si="36"/>
        <v>0</v>
      </c>
      <c r="AW14">
        <f t="shared" si="37"/>
        <v>0</v>
      </c>
      <c r="AX14">
        <f t="shared" si="38"/>
        <v>0</v>
      </c>
      <c r="AY14">
        <f t="shared" si="39"/>
        <v>0</v>
      </c>
      <c r="AZ14">
        <f t="shared" si="40"/>
        <v>0</v>
      </c>
      <c r="BA14">
        <f t="shared" si="41"/>
        <v>0</v>
      </c>
      <c r="BB14">
        <f t="shared" si="42"/>
        <v>0</v>
      </c>
      <c r="BC14">
        <f t="shared" si="43"/>
        <v>0</v>
      </c>
      <c r="BD14">
        <f t="shared" si="44"/>
        <v>0</v>
      </c>
      <c r="BG14">
        <f>'2. System Charts'!K14</f>
        <v>1</v>
      </c>
      <c r="BH14" t="str">
        <f>'2. System Charts'!L14</f>
        <v/>
      </c>
      <c r="BI14" t="str">
        <f>'2. System Charts'!M14</f>
        <v/>
      </c>
      <c r="BJ14" t="str">
        <f>'2. System Charts'!N14</f>
        <v/>
      </c>
      <c r="BK14" t="str">
        <f>'2. System Charts'!O14</f>
        <v/>
      </c>
      <c r="BL14" t="str">
        <f>'2. System Charts'!P14</f>
        <v/>
      </c>
      <c r="BM14" t="str">
        <f>'2. System Charts'!Q14</f>
        <v/>
      </c>
      <c r="BN14" t="str">
        <f>'2. System Charts'!R14</f>
        <v/>
      </c>
      <c r="BO14" t="str">
        <f>'2. System Charts'!S14</f>
        <v/>
      </c>
      <c r="BP14" t="str">
        <f>'2. System Charts'!T14</f>
        <v/>
      </c>
      <c r="BQ14" t="str">
        <f>'2. System Charts'!U14</f>
        <v/>
      </c>
      <c r="BR14" t="str">
        <f>'2. System Charts'!V14</f>
        <v/>
      </c>
      <c r="BS14" t="str">
        <f>'2. System Charts'!W14</f>
        <v/>
      </c>
      <c r="BT14" t="str">
        <f>'2. System Charts'!X14</f>
        <v/>
      </c>
      <c r="BU14" t="str">
        <f>'2. System Charts'!Y14</f>
        <v/>
      </c>
      <c r="BV14" t="str">
        <f>'2. System Charts'!Z14</f>
        <v/>
      </c>
      <c r="BW14" t="str">
        <f>'2. System Charts'!AA14</f>
        <v/>
      </c>
      <c r="BX14" t="str">
        <f>'2. System Charts'!AB14</f>
        <v/>
      </c>
      <c r="BY14" t="str">
        <f>'2. System Charts'!AC14</f>
        <v/>
      </c>
      <c r="BZ14" t="str">
        <f>'2. System Charts'!AD14</f>
        <v/>
      </c>
      <c r="CA14" t="str">
        <f>'2. System Charts'!AE14</f>
        <v/>
      </c>
      <c r="CB14" t="str">
        <f>'2. System Charts'!AF14</f>
        <v/>
      </c>
    </row>
    <row r="15" spans="11:80">
      <c r="K15">
        <f t="shared" si="0"/>
        <v>1.2</v>
      </c>
      <c r="L15" s="593">
        <f t="shared" si="45"/>
        <v>0</v>
      </c>
      <c r="M15" s="593">
        <f t="shared" si="3"/>
        <v>0</v>
      </c>
      <c r="N15" s="593">
        <f t="shared" si="4"/>
        <v>0</v>
      </c>
      <c r="O15" s="593">
        <f t="shared" si="5"/>
        <v>0</v>
      </c>
      <c r="P15" s="593">
        <f t="shared" si="6"/>
        <v>0</v>
      </c>
      <c r="Q15" s="593">
        <f t="shared" si="7"/>
        <v>0</v>
      </c>
      <c r="R15" s="593">
        <f t="shared" si="8"/>
        <v>0</v>
      </c>
      <c r="S15" s="593">
        <f t="shared" si="9"/>
        <v>0</v>
      </c>
      <c r="T15" s="593">
        <f t="shared" si="10"/>
        <v>0</v>
      </c>
      <c r="U15" s="593">
        <f t="shared" si="11"/>
        <v>0</v>
      </c>
      <c r="V15" s="593">
        <f t="shared" si="12"/>
        <v>0</v>
      </c>
      <c r="W15" s="593">
        <f t="shared" si="13"/>
        <v>0</v>
      </c>
      <c r="X15" s="593">
        <f t="shared" si="14"/>
        <v>0</v>
      </c>
      <c r="Y15" s="593">
        <f t="shared" si="15"/>
        <v>0</v>
      </c>
      <c r="Z15" s="593">
        <f t="shared" si="16"/>
        <v>0</v>
      </c>
      <c r="AA15" s="593">
        <f t="shared" si="17"/>
        <v>0</v>
      </c>
      <c r="AB15" s="593">
        <f t="shared" si="18"/>
        <v>0</v>
      </c>
      <c r="AC15" s="593">
        <f t="shared" si="19"/>
        <v>0</v>
      </c>
      <c r="AD15" s="593">
        <f t="shared" si="20"/>
        <v>0</v>
      </c>
      <c r="AE15" s="593">
        <f t="shared" si="21"/>
        <v>0</v>
      </c>
      <c r="AF15" s="593">
        <f t="shared" si="22"/>
        <v>0</v>
      </c>
      <c r="AI15">
        <f t="shared" si="23"/>
        <v>1.2</v>
      </c>
      <c r="AJ15">
        <f t="shared" si="24"/>
        <v>0</v>
      </c>
      <c r="AK15">
        <f t="shared" si="25"/>
        <v>0</v>
      </c>
      <c r="AL15">
        <f t="shared" si="26"/>
        <v>0</v>
      </c>
      <c r="AM15">
        <f t="shared" si="27"/>
        <v>0</v>
      </c>
      <c r="AN15">
        <f t="shared" si="28"/>
        <v>0</v>
      </c>
      <c r="AO15">
        <f t="shared" si="29"/>
        <v>0</v>
      </c>
      <c r="AP15">
        <f t="shared" si="30"/>
        <v>0</v>
      </c>
      <c r="AQ15">
        <f t="shared" si="31"/>
        <v>0</v>
      </c>
      <c r="AR15">
        <f t="shared" si="32"/>
        <v>0</v>
      </c>
      <c r="AS15">
        <f t="shared" si="33"/>
        <v>0</v>
      </c>
      <c r="AT15">
        <f t="shared" si="34"/>
        <v>0</v>
      </c>
      <c r="AU15">
        <f t="shared" si="35"/>
        <v>0</v>
      </c>
      <c r="AV15">
        <f t="shared" si="36"/>
        <v>0</v>
      </c>
      <c r="AW15">
        <f t="shared" si="37"/>
        <v>0</v>
      </c>
      <c r="AX15">
        <f t="shared" si="38"/>
        <v>0</v>
      </c>
      <c r="AY15">
        <f t="shared" si="39"/>
        <v>0</v>
      </c>
      <c r="AZ15">
        <f t="shared" si="40"/>
        <v>0</v>
      </c>
      <c r="BA15">
        <f t="shared" si="41"/>
        <v>0</v>
      </c>
      <c r="BB15">
        <f t="shared" si="42"/>
        <v>0</v>
      </c>
      <c r="BC15">
        <f t="shared" si="43"/>
        <v>0</v>
      </c>
      <c r="BD15">
        <f t="shared" si="44"/>
        <v>0</v>
      </c>
      <c r="BG15">
        <f>'2. System Charts'!K15</f>
        <v>1.2</v>
      </c>
      <c r="BH15" t="str">
        <f>'2. System Charts'!L15</f>
        <v/>
      </c>
      <c r="BI15" t="str">
        <f>'2. System Charts'!M15</f>
        <v/>
      </c>
      <c r="BJ15" t="str">
        <f>'2. System Charts'!N15</f>
        <v/>
      </c>
      <c r="BK15" t="str">
        <f>'2. System Charts'!O15</f>
        <v/>
      </c>
      <c r="BL15" t="str">
        <f>'2. System Charts'!P15</f>
        <v/>
      </c>
      <c r="BM15" t="str">
        <f>'2. System Charts'!Q15</f>
        <v/>
      </c>
      <c r="BN15" t="str">
        <f>'2. System Charts'!R15</f>
        <v/>
      </c>
      <c r="BO15" t="str">
        <f>'2. System Charts'!S15</f>
        <v/>
      </c>
      <c r="BP15" t="str">
        <f>'2. System Charts'!T15</f>
        <v/>
      </c>
      <c r="BQ15" t="str">
        <f>'2. System Charts'!U15</f>
        <v/>
      </c>
      <c r="BR15" t="str">
        <f>'2. System Charts'!V15</f>
        <v/>
      </c>
      <c r="BS15" t="str">
        <f>'2. System Charts'!W15</f>
        <v/>
      </c>
      <c r="BT15" t="str">
        <f>'2. System Charts'!X15</f>
        <v/>
      </c>
      <c r="BU15" t="str">
        <f>'2. System Charts'!Y15</f>
        <v/>
      </c>
      <c r="BV15" t="str">
        <f>'2. System Charts'!Z15</f>
        <v/>
      </c>
      <c r="BW15" t="str">
        <f>'2. System Charts'!AA15</f>
        <v/>
      </c>
      <c r="BX15" t="str">
        <f>'2. System Charts'!AB15</f>
        <v/>
      </c>
      <c r="BY15" t="str">
        <f>'2. System Charts'!AC15</f>
        <v/>
      </c>
      <c r="BZ15" t="str">
        <f>'2. System Charts'!AD15</f>
        <v/>
      </c>
      <c r="CA15" t="str">
        <f>'2. System Charts'!AE15</f>
        <v/>
      </c>
      <c r="CB15" t="str">
        <f>'2. System Charts'!AF15</f>
        <v/>
      </c>
    </row>
    <row r="16" spans="11:80">
      <c r="K16">
        <f t="shared" si="0"/>
        <v>1.4</v>
      </c>
      <c r="L16" s="593">
        <f t="shared" si="45"/>
        <v>0</v>
      </c>
      <c r="M16" s="593">
        <f t="shared" si="3"/>
        <v>0</v>
      </c>
      <c r="N16" s="593">
        <f t="shared" si="4"/>
        <v>0</v>
      </c>
      <c r="O16" s="593">
        <f t="shared" si="5"/>
        <v>0</v>
      </c>
      <c r="P16" s="593">
        <f t="shared" si="6"/>
        <v>0</v>
      </c>
      <c r="Q16" s="593">
        <f t="shared" si="7"/>
        <v>0</v>
      </c>
      <c r="R16" s="593">
        <f t="shared" si="8"/>
        <v>0</v>
      </c>
      <c r="S16" s="593">
        <f t="shared" si="9"/>
        <v>0</v>
      </c>
      <c r="T16" s="593">
        <f t="shared" si="10"/>
        <v>0</v>
      </c>
      <c r="U16" s="593">
        <f t="shared" si="11"/>
        <v>0</v>
      </c>
      <c r="V16" s="593">
        <f t="shared" si="12"/>
        <v>0</v>
      </c>
      <c r="W16" s="593">
        <f t="shared" si="13"/>
        <v>0</v>
      </c>
      <c r="X16" s="593">
        <f t="shared" si="14"/>
        <v>0</v>
      </c>
      <c r="Y16" s="593">
        <f t="shared" si="15"/>
        <v>0</v>
      </c>
      <c r="Z16" s="593">
        <f t="shared" si="16"/>
        <v>0</v>
      </c>
      <c r="AA16" s="593">
        <f t="shared" si="17"/>
        <v>0</v>
      </c>
      <c r="AB16" s="593">
        <f t="shared" si="18"/>
        <v>0</v>
      </c>
      <c r="AC16" s="593">
        <f t="shared" si="19"/>
        <v>0</v>
      </c>
      <c r="AD16" s="593">
        <f t="shared" si="20"/>
        <v>0</v>
      </c>
      <c r="AE16" s="593">
        <f t="shared" si="21"/>
        <v>0</v>
      </c>
      <c r="AF16" s="593">
        <f t="shared" si="22"/>
        <v>0</v>
      </c>
      <c r="AI16">
        <f t="shared" si="23"/>
        <v>1.4</v>
      </c>
      <c r="AJ16">
        <f t="shared" si="24"/>
        <v>0</v>
      </c>
      <c r="AK16">
        <f t="shared" si="25"/>
        <v>0</v>
      </c>
      <c r="AL16">
        <f t="shared" si="26"/>
        <v>0</v>
      </c>
      <c r="AM16">
        <f t="shared" si="27"/>
        <v>0</v>
      </c>
      <c r="AN16">
        <f t="shared" si="28"/>
        <v>0</v>
      </c>
      <c r="AO16">
        <f t="shared" si="29"/>
        <v>0</v>
      </c>
      <c r="AP16">
        <f t="shared" si="30"/>
        <v>0</v>
      </c>
      <c r="AQ16">
        <f t="shared" si="31"/>
        <v>0</v>
      </c>
      <c r="AR16">
        <f t="shared" si="32"/>
        <v>0</v>
      </c>
      <c r="AS16">
        <f t="shared" si="33"/>
        <v>0</v>
      </c>
      <c r="AT16">
        <f t="shared" si="34"/>
        <v>0</v>
      </c>
      <c r="AU16">
        <f t="shared" si="35"/>
        <v>0</v>
      </c>
      <c r="AV16">
        <f t="shared" si="36"/>
        <v>0</v>
      </c>
      <c r="AW16">
        <f t="shared" si="37"/>
        <v>0</v>
      </c>
      <c r="AX16">
        <f t="shared" si="38"/>
        <v>0</v>
      </c>
      <c r="AY16">
        <f t="shared" si="39"/>
        <v>0</v>
      </c>
      <c r="AZ16">
        <f t="shared" si="40"/>
        <v>0</v>
      </c>
      <c r="BA16">
        <f t="shared" si="41"/>
        <v>0</v>
      </c>
      <c r="BB16">
        <f t="shared" si="42"/>
        <v>0</v>
      </c>
      <c r="BC16">
        <f t="shared" si="43"/>
        <v>0</v>
      </c>
      <c r="BD16">
        <f t="shared" si="44"/>
        <v>0</v>
      </c>
      <c r="BG16">
        <f>'2. System Charts'!K16</f>
        <v>1.4</v>
      </c>
      <c r="BH16" t="str">
        <f>'2. System Charts'!L16</f>
        <v/>
      </c>
      <c r="BI16" t="str">
        <f>'2. System Charts'!M16</f>
        <v/>
      </c>
      <c r="BJ16" t="str">
        <f>'2. System Charts'!N16</f>
        <v/>
      </c>
      <c r="BK16" t="str">
        <f>'2. System Charts'!O16</f>
        <v/>
      </c>
      <c r="BL16" t="str">
        <f>'2. System Charts'!P16</f>
        <v/>
      </c>
      <c r="BM16" t="str">
        <f>'2. System Charts'!Q16</f>
        <v/>
      </c>
      <c r="BN16" t="str">
        <f>'2. System Charts'!R16</f>
        <v/>
      </c>
      <c r="BO16" t="str">
        <f>'2. System Charts'!S16</f>
        <v/>
      </c>
      <c r="BP16" t="str">
        <f>'2. System Charts'!T16</f>
        <v/>
      </c>
      <c r="BQ16" t="str">
        <f>'2. System Charts'!U16</f>
        <v/>
      </c>
      <c r="BR16" t="str">
        <f>'2. System Charts'!V16</f>
        <v/>
      </c>
      <c r="BS16" t="str">
        <f>'2. System Charts'!W16</f>
        <v/>
      </c>
      <c r="BT16" t="str">
        <f>'2. System Charts'!X16</f>
        <v/>
      </c>
      <c r="BU16" t="str">
        <f>'2. System Charts'!Y16</f>
        <v/>
      </c>
      <c r="BV16" t="str">
        <f>'2. System Charts'!Z16</f>
        <v/>
      </c>
      <c r="BW16" t="str">
        <f>'2. System Charts'!AA16</f>
        <v/>
      </c>
      <c r="BX16" t="str">
        <f>'2. System Charts'!AB16</f>
        <v/>
      </c>
      <c r="BY16" t="str">
        <f>'2. System Charts'!AC16</f>
        <v/>
      </c>
      <c r="BZ16" t="str">
        <f>'2. System Charts'!AD16</f>
        <v/>
      </c>
      <c r="CA16" t="str">
        <f>'2. System Charts'!AE16</f>
        <v/>
      </c>
      <c r="CB16" t="str">
        <f>'2. System Charts'!AF16</f>
        <v/>
      </c>
    </row>
    <row r="17" spans="11:80">
      <c r="K17">
        <f t="shared" si="0"/>
        <v>1.6</v>
      </c>
      <c r="L17" s="593">
        <f t="shared" si="45"/>
        <v>0</v>
      </c>
      <c r="M17" s="593">
        <f t="shared" si="3"/>
        <v>0</v>
      </c>
      <c r="N17" s="593">
        <f t="shared" si="4"/>
        <v>0</v>
      </c>
      <c r="O17" s="593">
        <f t="shared" si="5"/>
        <v>0</v>
      </c>
      <c r="P17" s="593">
        <f t="shared" si="6"/>
        <v>0</v>
      </c>
      <c r="Q17" s="593">
        <f t="shared" si="7"/>
        <v>0</v>
      </c>
      <c r="R17" s="593">
        <f t="shared" si="8"/>
        <v>0</v>
      </c>
      <c r="S17" s="593">
        <f t="shared" si="9"/>
        <v>0</v>
      </c>
      <c r="T17" s="593">
        <f t="shared" si="10"/>
        <v>0</v>
      </c>
      <c r="U17" s="593">
        <f t="shared" si="11"/>
        <v>0</v>
      </c>
      <c r="V17" s="593">
        <f t="shared" si="12"/>
        <v>0</v>
      </c>
      <c r="W17" s="593">
        <f t="shared" si="13"/>
        <v>0</v>
      </c>
      <c r="X17" s="593">
        <f t="shared" si="14"/>
        <v>0</v>
      </c>
      <c r="Y17" s="593">
        <f t="shared" si="15"/>
        <v>0</v>
      </c>
      <c r="Z17" s="593">
        <f t="shared" si="16"/>
        <v>0</v>
      </c>
      <c r="AA17" s="593">
        <f t="shared" si="17"/>
        <v>0</v>
      </c>
      <c r="AB17" s="593">
        <f t="shared" si="18"/>
        <v>0</v>
      </c>
      <c r="AC17" s="593">
        <f t="shared" si="19"/>
        <v>0</v>
      </c>
      <c r="AD17" s="593">
        <f t="shared" si="20"/>
        <v>0</v>
      </c>
      <c r="AE17" s="593">
        <f t="shared" si="21"/>
        <v>0</v>
      </c>
      <c r="AF17" s="593">
        <f t="shared" si="22"/>
        <v>0</v>
      </c>
      <c r="AI17">
        <f t="shared" si="23"/>
        <v>1.6</v>
      </c>
      <c r="AJ17">
        <f t="shared" si="24"/>
        <v>0</v>
      </c>
      <c r="AK17">
        <f t="shared" si="25"/>
        <v>0</v>
      </c>
      <c r="AL17">
        <f t="shared" si="26"/>
        <v>0</v>
      </c>
      <c r="AM17">
        <f t="shared" si="27"/>
        <v>0</v>
      </c>
      <c r="AN17">
        <f t="shared" si="28"/>
        <v>0</v>
      </c>
      <c r="AO17">
        <f t="shared" si="29"/>
        <v>0</v>
      </c>
      <c r="AP17">
        <f t="shared" si="30"/>
        <v>0</v>
      </c>
      <c r="AQ17">
        <f t="shared" si="31"/>
        <v>0</v>
      </c>
      <c r="AR17">
        <f t="shared" si="32"/>
        <v>0</v>
      </c>
      <c r="AS17">
        <f t="shared" si="33"/>
        <v>0</v>
      </c>
      <c r="AT17">
        <f t="shared" si="34"/>
        <v>0</v>
      </c>
      <c r="AU17">
        <f t="shared" si="35"/>
        <v>0</v>
      </c>
      <c r="AV17">
        <f t="shared" si="36"/>
        <v>0</v>
      </c>
      <c r="AW17">
        <f t="shared" si="37"/>
        <v>0</v>
      </c>
      <c r="AX17">
        <f t="shared" si="38"/>
        <v>0</v>
      </c>
      <c r="AY17">
        <f t="shared" si="39"/>
        <v>0</v>
      </c>
      <c r="AZ17">
        <f t="shared" si="40"/>
        <v>0</v>
      </c>
      <c r="BA17">
        <f t="shared" si="41"/>
        <v>0</v>
      </c>
      <c r="BB17">
        <f t="shared" si="42"/>
        <v>0</v>
      </c>
      <c r="BC17">
        <f t="shared" si="43"/>
        <v>0</v>
      </c>
      <c r="BD17">
        <f t="shared" si="44"/>
        <v>0</v>
      </c>
      <c r="BG17">
        <f>'2. System Charts'!K17</f>
        <v>1.6</v>
      </c>
      <c r="BH17" t="str">
        <f>'2. System Charts'!L17</f>
        <v/>
      </c>
      <c r="BI17" t="str">
        <f>'2. System Charts'!M17</f>
        <v/>
      </c>
      <c r="BJ17" t="str">
        <f>'2. System Charts'!N17</f>
        <v/>
      </c>
      <c r="BK17" t="str">
        <f>'2. System Charts'!O17</f>
        <v/>
      </c>
      <c r="BL17" t="str">
        <f>'2. System Charts'!P17</f>
        <v/>
      </c>
      <c r="BM17" t="str">
        <f>'2. System Charts'!Q17</f>
        <v/>
      </c>
      <c r="BN17" t="str">
        <f>'2. System Charts'!R17</f>
        <v/>
      </c>
      <c r="BO17" t="str">
        <f>'2. System Charts'!S17</f>
        <v/>
      </c>
      <c r="BP17" t="str">
        <f>'2. System Charts'!T17</f>
        <v/>
      </c>
      <c r="BQ17" t="str">
        <f>'2. System Charts'!U17</f>
        <v/>
      </c>
      <c r="BR17" t="str">
        <f>'2. System Charts'!V17</f>
        <v/>
      </c>
      <c r="BS17" t="str">
        <f>'2. System Charts'!W17</f>
        <v/>
      </c>
      <c r="BT17" t="str">
        <f>'2. System Charts'!X17</f>
        <v/>
      </c>
      <c r="BU17" t="str">
        <f>'2. System Charts'!Y17</f>
        <v/>
      </c>
      <c r="BV17" t="str">
        <f>'2. System Charts'!Z17</f>
        <v/>
      </c>
      <c r="BW17" t="str">
        <f>'2. System Charts'!AA17</f>
        <v/>
      </c>
      <c r="BX17" t="str">
        <f>'2. System Charts'!AB17</f>
        <v/>
      </c>
      <c r="BY17" t="str">
        <f>'2. System Charts'!AC17</f>
        <v/>
      </c>
      <c r="BZ17" t="str">
        <f>'2. System Charts'!AD17</f>
        <v/>
      </c>
      <c r="CA17" t="str">
        <f>'2. System Charts'!AE17</f>
        <v/>
      </c>
      <c r="CB17" t="str">
        <f>'2. System Charts'!AF17</f>
        <v/>
      </c>
    </row>
    <row r="18" spans="11:80">
      <c r="K18">
        <f t="shared" si="0"/>
        <v>1.8</v>
      </c>
      <c r="L18" s="593">
        <f t="shared" si="45"/>
        <v>0</v>
      </c>
      <c r="M18" s="593">
        <f t="shared" si="3"/>
        <v>0</v>
      </c>
      <c r="N18" s="593">
        <f t="shared" si="4"/>
        <v>0</v>
      </c>
      <c r="O18" s="593">
        <f t="shared" si="5"/>
        <v>0</v>
      </c>
      <c r="P18" s="593">
        <f t="shared" si="6"/>
        <v>0</v>
      </c>
      <c r="Q18" s="593">
        <f t="shared" si="7"/>
        <v>0</v>
      </c>
      <c r="R18" s="593">
        <f t="shared" si="8"/>
        <v>0</v>
      </c>
      <c r="S18" s="593">
        <f t="shared" si="9"/>
        <v>0</v>
      </c>
      <c r="T18" s="593">
        <f t="shared" si="10"/>
        <v>0</v>
      </c>
      <c r="U18" s="593">
        <f t="shared" si="11"/>
        <v>0</v>
      </c>
      <c r="V18" s="593">
        <f t="shared" si="12"/>
        <v>0</v>
      </c>
      <c r="W18" s="593">
        <f t="shared" si="13"/>
        <v>0</v>
      </c>
      <c r="X18" s="593">
        <f t="shared" si="14"/>
        <v>0</v>
      </c>
      <c r="Y18" s="593">
        <f t="shared" si="15"/>
        <v>0</v>
      </c>
      <c r="Z18" s="593">
        <f t="shared" si="16"/>
        <v>0</v>
      </c>
      <c r="AA18" s="593">
        <f t="shared" si="17"/>
        <v>0</v>
      </c>
      <c r="AB18" s="593">
        <f t="shared" si="18"/>
        <v>0</v>
      </c>
      <c r="AC18" s="593">
        <f t="shared" si="19"/>
        <v>0</v>
      </c>
      <c r="AD18" s="593">
        <f t="shared" si="20"/>
        <v>0</v>
      </c>
      <c r="AE18" s="593">
        <f t="shared" si="21"/>
        <v>0</v>
      </c>
      <c r="AF18" s="593">
        <f t="shared" si="22"/>
        <v>0</v>
      </c>
      <c r="AI18">
        <f t="shared" si="23"/>
        <v>1.8</v>
      </c>
      <c r="AJ18">
        <f t="shared" si="24"/>
        <v>0</v>
      </c>
      <c r="AK18">
        <f t="shared" si="25"/>
        <v>0</v>
      </c>
      <c r="AL18">
        <f t="shared" si="26"/>
        <v>0</v>
      </c>
      <c r="AM18">
        <f t="shared" si="27"/>
        <v>0</v>
      </c>
      <c r="AN18">
        <f t="shared" si="28"/>
        <v>0</v>
      </c>
      <c r="AO18">
        <f t="shared" si="29"/>
        <v>0</v>
      </c>
      <c r="AP18">
        <f t="shared" si="30"/>
        <v>0</v>
      </c>
      <c r="AQ18">
        <f t="shared" si="31"/>
        <v>0</v>
      </c>
      <c r="AR18">
        <f t="shared" si="32"/>
        <v>0</v>
      </c>
      <c r="AS18">
        <f t="shared" si="33"/>
        <v>0</v>
      </c>
      <c r="AT18">
        <f t="shared" si="34"/>
        <v>0</v>
      </c>
      <c r="AU18">
        <f t="shared" si="35"/>
        <v>0</v>
      </c>
      <c r="AV18">
        <f t="shared" si="36"/>
        <v>0</v>
      </c>
      <c r="AW18">
        <f t="shared" si="37"/>
        <v>0</v>
      </c>
      <c r="AX18">
        <f t="shared" si="38"/>
        <v>0</v>
      </c>
      <c r="AY18">
        <f t="shared" si="39"/>
        <v>0</v>
      </c>
      <c r="AZ18">
        <f t="shared" si="40"/>
        <v>0</v>
      </c>
      <c r="BA18">
        <f t="shared" si="41"/>
        <v>0</v>
      </c>
      <c r="BB18">
        <f t="shared" si="42"/>
        <v>0</v>
      </c>
      <c r="BC18">
        <f t="shared" si="43"/>
        <v>0</v>
      </c>
      <c r="BD18">
        <f t="shared" si="44"/>
        <v>0</v>
      </c>
      <c r="BG18">
        <f>'2. System Charts'!K18</f>
        <v>1.8</v>
      </c>
      <c r="BH18" t="str">
        <f>'2. System Charts'!L18</f>
        <v/>
      </c>
      <c r="BI18" t="str">
        <f>'2. System Charts'!M18</f>
        <v/>
      </c>
      <c r="BJ18" t="str">
        <f>'2. System Charts'!N18</f>
        <v/>
      </c>
      <c r="BK18" t="str">
        <f>'2. System Charts'!O18</f>
        <v/>
      </c>
      <c r="BL18" t="str">
        <f>'2. System Charts'!P18</f>
        <v/>
      </c>
      <c r="BM18" t="str">
        <f>'2. System Charts'!Q18</f>
        <v/>
      </c>
      <c r="BN18" t="str">
        <f>'2. System Charts'!R18</f>
        <v/>
      </c>
      <c r="BO18" t="str">
        <f>'2. System Charts'!S18</f>
        <v/>
      </c>
      <c r="BP18" t="str">
        <f>'2. System Charts'!T18</f>
        <v/>
      </c>
      <c r="BQ18" t="str">
        <f>'2. System Charts'!U18</f>
        <v/>
      </c>
      <c r="BR18" t="str">
        <f>'2. System Charts'!V18</f>
        <v/>
      </c>
      <c r="BS18" t="str">
        <f>'2. System Charts'!W18</f>
        <v/>
      </c>
      <c r="BT18" t="str">
        <f>'2. System Charts'!X18</f>
        <v/>
      </c>
      <c r="BU18" t="str">
        <f>'2. System Charts'!Y18</f>
        <v/>
      </c>
      <c r="BV18" t="str">
        <f>'2. System Charts'!Z18</f>
        <v/>
      </c>
      <c r="BW18" t="str">
        <f>'2. System Charts'!AA18</f>
        <v/>
      </c>
      <c r="BX18" t="str">
        <f>'2. System Charts'!AB18</f>
        <v/>
      </c>
      <c r="BY18" t="str">
        <f>'2. System Charts'!AC18</f>
        <v/>
      </c>
      <c r="BZ18" t="str">
        <f>'2. System Charts'!AD18</f>
        <v/>
      </c>
      <c r="CA18" t="str">
        <f>'2. System Charts'!AE18</f>
        <v/>
      </c>
      <c r="CB18" t="str">
        <f>'2. System Charts'!AF18</f>
        <v/>
      </c>
    </row>
    <row r="19" spans="11:80">
      <c r="K19">
        <f t="shared" si="0"/>
        <v>2</v>
      </c>
      <c r="L19" s="593">
        <f t="shared" si="45"/>
        <v>0</v>
      </c>
      <c r="M19" s="593">
        <f t="shared" si="3"/>
        <v>0</v>
      </c>
      <c r="N19" s="593">
        <f t="shared" si="4"/>
        <v>0</v>
      </c>
      <c r="O19" s="593">
        <f t="shared" si="5"/>
        <v>0</v>
      </c>
      <c r="P19" s="593">
        <f t="shared" si="6"/>
        <v>0</v>
      </c>
      <c r="Q19" s="593">
        <f t="shared" si="7"/>
        <v>0</v>
      </c>
      <c r="R19" s="593">
        <f t="shared" si="8"/>
        <v>0</v>
      </c>
      <c r="S19" s="593">
        <f t="shared" si="9"/>
        <v>0</v>
      </c>
      <c r="T19" s="593">
        <f t="shared" si="10"/>
        <v>0</v>
      </c>
      <c r="U19" s="593">
        <f t="shared" si="11"/>
        <v>0</v>
      </c>
      <c r="V19" s="593">
        <f t="shared" si="12"/>
        <v>0</v>
      </c>
      <c r="W19" s="593">
        <f t="shared" si="13"/>
        <v>0</v>
      </c>
      <c r="X19" s="593">
        <f t="shared" si="14"/>
        <v>0</v>
      </c>
      <c r="Y19" s="593">
        <f t="shared" si="15"/>
        <v>0</v>
      </c>
      <c r="Z19" s="593">
        <f t="shared" si="16"/>
        <v>0</v>
      </c>
      <c r="AA19" s="593">
        <f t="shared" si="17"/>
        <v>0</v>
      </c>
      <c r="AB19" s="593">
        <f t="shared" si="18"/>
        <v>0</v>
      </c>
      <c r="AC19" s="593">
        <f t="shared" si="19"/>
        <v>0</v>
      </c>
      <c r="AD19" s="593">
        <f t="shared" si="20"/>
        <v>0</v>
      </c>
      <c r="AE19" s="593">
        <f t="shared" si="21"/>
        <v>0</v>
      </c>
      <c r="AF19" s="593">
        <f t="shared" si="22"/>
        <v>0</v>
      </c>
      <c r="AI19">
        <f t="shared" si="23"/>
        <v>2</v>
      </c>
      <c r="AJ19">
        <f t="shared" si="24"/>
        <v>0</v>
      </c>
      <c r="AK19">
        <f t="shared" si="25"/>
        <v>0</v>
      </c>
      <c r="AL19">
        <f t="shared" si="26"/>
        <v>0</v>
      </c>
      <c r="AM19">
        <f t="shared" si="27"/>
        <v>0</v>
      </c>
      <c r="AN19">
        <f t="shared" si="28"/>
        <v>0</v>
      </c>
      <c r="AO19">
        <f t="shared" si="29"/>
        <v>0</v>
      </c>
      <c r="AP19">
        <f t="shared" si="30"/>
        <v>0</v>
      </c>
      <c r="AQ19">
        <f t="shared" si="31"/>
        <v>0</v>
      </c>
      <c r="AR19">
        <f t="shared" si="32"/>
        <v>0</v>
      </c>
      <c r="AS19">
        <f t="shared" si="33"/>
        <v>0</v>
      </c>
      <c r="AT19">
        <f t="shared" si="34"/>
        <v>0</v>
      </c>
      <c r="AU19">
        <f t="shared" si="35"/>
        <v>0</v>
      </c>
      <c r="AV19">
        <f t="shared" si="36"/>
        <v>0</v>
      </c>
      <c r="AW19">
        <f t="shared" si="37"/>
        <v>0</v>
      </c>
      <c r="AX19">
        <f t="shared" si="38"/>
        <v>0</v>
      </c>
      <c r="AY19">
        <f t="shared" si="39"/>
        <v>0</v>
      </c>
      <c r="AZ19">
        <f t="shared" si="40"/>
        <v>0</v>
      </c>
      <c r="BA19">
        <f t="shared" si="41"/>
        <v>0</v>
      </c>
      <c r="BB19">
        <f t="shared" si="42"/>
        <v>0</v>
      </c>
      <c r="BC19">
        <f t="shared" si="43"/>
        <v>0</v>
      </c>
      <c r="BD19">
        <f t="shared" si="44"/>
        <v>0</v>
      </c>
      <c r="BG19">
        <f>'2. System Charts'!K19</f>
        <v>2</v>
      </c>
      <c r="BH19" t="str">
        <f>'2. System Charts'!L19</f>
        <v/>
      </c>
      <c r="BI19" t="str">
        <f>'2. System Charts'!M19</f>
        <v/>
      </c>
      <c r="BJ19" t="str">
        <f>'2. System Charts'!N19</f>
        <v/>
      </c>
      <c r="BK19" t="str">
        <f>'2. System Charts'!O19</f>
        <v/>
      </c>
      <c r="BL19" t="str">
        <f>'2. System Charts'!P19</f>
        <v/>
      </c>
      <c r="BM19" t="str">
        <f>'2. System Charts'!Q19</f>
        <v/>
      </c>
      <c r="BN19" t="str">
        <f>'2. System Charts'!R19</f>
        <v/>
      </c>
      <c r="BO19" t="str">
        <f>'2. System Charts'!S19</f>
        <v/>
      </c>
      <c r="BP19" t="str">
        <f>'2. System Charts'!T19</f>
        <v/>
      </c>
      <c r="BQ19" t="str">
        <f>'2. System Charts'!U19</f>
        <v/>
      </c>
      <c r="BR19" t="str">
        <f>'2. System Charts'!V19</f>
        <v/>
      </c>
      <c r="BS19" t="str">
        <f>'2. System Charts'!W19</f>
        <v/>
      </c>
      <c r="BT19" t="str">
        <f>'2. System Charts'!X19</f>
        <v/>
      </c>
      <c r="BU19" t="str">
        <f>'2. System Charts'!Y19</f>
        <v/>
      </c>
      <c r="BV19" t="str">
        <f>'2. System Charts'!Z19</f>
        <v/>
      </c>
      <c r="BW19" t="str">
        <f>'2. System Charts'!AA19</f>
        <v/>
      </c>
      <c r="BX19" t="str">
        <f>'2. System Charts'!AB19</f>
        <v/>
      </c>
      <c r="BY19" t="str">
        <f>'2. System Charts'!AC19</f>
        <v/>
      </c>
      <c r="BZ19" t="str">
        <f>'2. System Charts'!AD19</f>
        <v/>
      </c>
      <c r="CA19" t="str">
        <f>'2. System Charts'!AE19</f>
        <v/>
      </c>
      <c r="CB19" t="str">
        <f>'2. System Charts'!AF19</f>
        <v/>
      </c>
    </row>
    <row r="20" spans="11:80">
      <c r="K20">
        <f t="shared" si="0"/>
        <v>2.2000000000000002</v>
      </c>
      <c r="L20" s="593">
        <f t="shared" si="45"/>
        <v>0</v>
      </c>
      <c r="M20" s="593">
        <f t="shared" si="3"/>
        <v>0</v>
      </c>
      <c r="N20" s="593">
        <f t="shared" si="4"/>
        <v>0</v>
      </c>
      <c r="O20" s="593">
        <f t="shared" si="5"/>
        <v>0</v>
      </c>
      <c r="P20" s="593">
        <f t="shared" si="6"/>
        <v>0</v>
      </c>
      <c r="Q20" s="593">
        <f t="shared" si="7"/>
        <v>0</v>
      </c>
      <c r="R20" s="593">
        <f t="shared" si="8"/>
        <v>0</v>
      </c>
      <c r="S20" s="593">
        <f t="shared" si="9"/>
        <v>0</v>
      </c>
      <c r="T20" s="593">
        <f t="shared" si="10"/>
        <v>0</v>
      </c>
      <c r="U20" s="593">
        <f t="shared" si="11"/>
        <v>0</v>
      </c>
      <c r="V20" s="593">
        <f t="shared" si="12"/>
        <v>0</v>
      </c>
      <c r="W20" s="593">
        <f t="shared" si="13"/>
        <v>0</v>
      </c>
      <c r="X20" s="593">
        <f t="shared" si="14"/>
        <v>0</v>
      </c>
      <c r="Y20" s="593">
        <f t="shared" si="15"/>
        <v>0</v>
      </c>
      <c r="Z20" s="593">
        <f t="shared" si="16"/>
        <v>0</v>
      </c>
      <c r="AA20" s="593">
        <f t="shared" si="17"/>
        <v>0</v>
      </c>
      <c r="AB20" s="593">
        <f t="shared" si="18"/>
        <v>0</v>
      </c>
      <c r="AC20" s="593">
        <f t="shared" si="19"/>
        <v>0</v>
      </c>
      <c r="AD20" s="593">
        <f t="shared" si="20"/>
        <v>0</v>
      </c>
      <c r="AE20" s="593">
        <f t="shared" si="21"/>
        <v>0</v>
      </c>
      <c r="AF20" s="593">
        <f t="shared" si="22"/>
        <v>0</v>
      </c>
      <c r="AI20">
        <f t="shared" si="23"/>
        <v>2.2000000000000002</v>
      </c>
      <c r="AJ20">
        <f t="shared" si="24"/>
        <v>0</v>
      </c>
      <c r="AK20">
        <f t="shared" si="25"/>
        <v>0</v>
      </c>
      <c r="AL20">
        <f t="shared" si="26"/>
        <v>0</v>
      </c>
      <c r="AM20">
        <f t="shared" si="27"/>
        <v>0</v>
      </c>
      <c r="AN20">
        <f t="shared" si="28"/>
        <v>0</v>
      </c>
      <c r="AO20">
        <f t="shared" si="29"/>
        <v>0</v>
      </c>
      <c r="AP20">
        <f t="shared" si="30"/>
        <v>0</v>
      </c>
      <c r="AQ20">
        <f t="shared" si="31"/>
        <v>0</v>
      </c>
      <c r="AR20">
        <f t="shared" si="32"/>
        <v>0</v>
      </c>
      <c r="AS20">
        <f t="shared" si="33"/>
        <v>0</v>
      </c>
      <c r="AT20">
        <f t="shared" si="34"/>
        <v>0</v>
      </c>
      <c r="AU20">
        <f t="shared" si="35"/>
        <v>0</v>
      </c>
      <c r="AV20">
        <f t="shared" si="36"/>
        <v>0</v>
      </c>
      <c r="AW20">
        <f t="shared" si="37"/>
        <v>0</v>
      </c>
      <c r="AX20">
        <f t="shared" si="38"/>
        <v>0</v>
      </c>
      <c r="AY20">
        <f t="shared" si="39"/>
        <v>0</v>
      </c>
      <c r="AZ20">
        <f t="shared" si="40"/>
        <v>0</v>
      </c>
      <c r="BA20">
        <f t="shared" si="41"/>
        <v>0</v>
      </c>
      <c r="BB20">
        <f t="shared" si="42"/>
        <v>0</v>
      </c>
      <c r="BC20">
        <f t="shared" si="43"/>
        <v>0</v>
      </c>
      <c r="BD20">
        <f t="shared" si="44"/>
        <v>0</v>
      </c>
      <c r="BG20">
        <f>'2. System Charts'!K20</f>
        <v>2.2000000000000002</v>
      </c>
      <c r="BH20" t="str">
        <f>'2. System Charts'!L20</f>
        <v/>
      </c>
      <c r="BI20" t="str">
        <f>'2. System Charts'!M20</f>
        <v/>
      </c>
      <c r="BJ20" t="str">
        <f>'2. System Charts'!N20</f>
        <v/>
      </c>
      <c r="BK20" t="str">
        <f>'2. System Charts'!O20</f>
        <v/>
      </c>
      <c r="BL20" t="str">
        <f>'2. System Charts'!P20</f>
        <v/>
      </c>
      <c r="BM20" t="str">
        <f>'2. System Charts'!Q20</f>
        <v/>
      </c>
      <c r="BN20" t="str">
        <f>'2. System Charts'!R20</f>
        <v/>
      </c>
      <c r="BO20" t="str">
        <f>'2. System Charts'!S20</f>
        <v/>
      </c>
      <c r="BP20" t="str">
        <f>'2. System Charts'!T20</f>
        <v/>
      </c>
      <c r="BQ20" t="str">
        <f>'2. System Charts'!U20</f>
        <v/>
      </c>
      <c r="BR20" t="str">
        <f>'2. System Charts'!V20</f>
        <v/>
      </c>
      <c r="BS20" t="str">
        <f>'2. System Charts'!W20</f>
        <v/>
      </c>
      <c r="BT20" t="str">
        <f>'2. System Charts'!X20</f>
        <v/>
      </c>
      <c r="BU20" t="str">
        <f>'2. System Charts'!Y20</f>
        <v/>
      </c>
      <c r="BV20" t="str">
        <f>'2. System Charts'!Z20</f>
        <v/>
      </c>
      <c r="BW20" t="str">
        <f>'2. System Charts'!AA20</f>
        <v/>
      </c>
      <c r="BX20" t="str">
        <f>'2. System Charts'!AB20</f>
        <v/>
      </c>
      <c r="BY20" t="str">
        <f>'2. System Charts'!AC20</f>
        <v/>
      </c>
      <c r="BZ20" t="str">
        <f>'2. System Charts'!AD20</f>
        <v/>
      </c>
      <c r="CA20" t="str">
        <f>'2. System Charts'!AE20</f>
        <v/>
      </c>
      <c r="CB20" t="str">
        <f>'2. System Charts'!AF20</f>
        <v/>
      </c>
    </row>
    <row r="21" spans="11:80">
      <c r="K21">
        <f t="shared" si="0"/>
        <v>2.4</v>
      </c>
      <c r="L21" s="593">
        <f t="shared" si="45"/>
        <v>0</v>
      </c>
      <c r="M21" s="593">
        <f t="shared" si="3"/>
        <v>0</v>
      </c>
      <c r="N21" s="593">
        <f t="shared" si="4"/>
        <v>0</v>
      </c>
      <c r="O21" s="593">
        <f t="shared" si="5"/>
        <v>0</v>
      </c>
      <c r="P21" s="593">
        <f t="shared" si="6"/>
        <v>0</v>
      </c>
      <c r="Q21" s="593">
        <f t="shared" si="7"/>
        <v>0</v>
      </c>
      <c r="R21" s="593">
        <f t="shared" si="8"/>
        <v>0</v>
      </c>
      <c r="S21" s="593">
        <f t="shared" si="9"/>
        <v>0</v>
      </c>
      <c r="T21" s="593">
        <f t="shared" si="10"/>
        <v>0</v>
      </c>
      <c r="U21" s="593">
        <f t="shared" si="11"/>
        <v>0</v>
      </c>
      <c r="V21" s="593">
        <f t="shared" si="12"/>
        <v>0</v>
      </c>
      <c r="W21" s="593">
        <f t="shared" si="13"/>
        <v>0</v>
      </c>
      <c r="X21" s="593">
        <f t="shared" si="14"/>
        <v>0</v>
      </c>
      <c r="Y21" s="593">
        <f t="shared" si="15"/>
        <v>0</v>
      </c>
      <c r="Z21" s="593">
        <f t="shared" si="16"/>
        <v>0</v>
      </c>
      <c r="AA21" s="593">
        <f t="shared" si="17"/>
        <v>0</v>
      </c>
      <c r="AB21" s="593">
        <f t="shared" si="18"/>
        <v>0</v>
      </c>
      <c r="AC21" s="593">
        <f t="shared" si="19"/>
        <v>0</v>
      </c>
      <c r="AD21" s="593">
        <f t="shared" si="20"/>
        <v>0</v>
      </c>
      <c r="AE21" s="593">
        <f t="shared" si="21"/>
        <v>0</v>
      </c>
      <c r="AF21" s="593">
        <f t="shared" si="22"/>
        <v>0</v>
      </c>
      <c r="AI21">
        <f t="shared" si="23"/>
        <v>2.4</v>
      </c>
      <c r="AJ21">
        <f t="shared" si="24"/>
        <v>0</v>
      </c>
      <c r="AK21">
        <f t="shared" si="25"/>
        <v>0</v>
      </c>
      <c r="AL21">
        <f t="shared" si="26"/>
        <v>0</v>
      </c>
      <c r="AM21">
        <f t="shared" si="27"/>
        <v>0</v>
      </c>
      <c r="AN21">
        <f t="shared" si="28"/>
        <v>0</v>
      </c>
      <c r="AO21">
        <f t="shared" si="29"/>
        <v>0</v>
      </c>
      <c r="AP21">
        <f t="shared" si="30"/>
        <v>0</v>
      </c>
      <c r="AQ21">
        <f t="shared" si="31"/>
        <v>0</v>
      </c>
      <c r="AR21">
        <f t="shared" si="32"/>
        <v>0</v>
      </c>
      <c r="AS21">
        <f t="shared" si="33"/>
        <v>0</v>
      </c>
      <c r="AT21">
        <f t="shared" si="34"/>
        <v>0</v>
      </c>
      <c r="AU21">
        <f t="shared" si="35"/>
        <v>0</v>
      </c>
      <c r="AV21">
        <f t="shared" si="36"/>
        <v>0</v>
      </c>
      <c r="AW21">
        <f t="shared" si="37"/>
        <v>0</v>
      </c>
      <c r="AX21">
        <f t="shared" si="38"/>
        <v>0</v>
      </c>
      <c r="AY21">
        <f t="shared" si="39"/>
        <v>0</v>
      </c>
      <c r="AZ21">
        <f t="shared" si="40"/>
        <v>0</v>
      </c>
      <c r="BA21">
        <f t="shared" si="41"/>
        <v>0</v>
      </c>
      <c r="BB21">
        <f t="shared" si="42"/>
        <v>0</v>
      </c>
      <c r="BC21">
        <f t="shared" si="43"/>
        <v>0</v>
      </c>
      <c r="BD21">
        <f t="shared" si="44"/>
        <v>0</v>
      </c>
      <c r="BG21">
        <f>'2. System Charts'!K21</f>
        <v>2.4</v>
      </c>
      <c r="BH21" t="str">
        <f>'2. System Charts'!L21</f>
        <v/>
      </c>
      <c r="BI21" t="str">
        <f>'2. System Charts'!M21</f>
        <v/>
      </c>
      <c r="BJ21" t="str">
        <f>'2. System Charts'!N21</f>
        <v/>
      </c>
      <c r="BK21" t="str">
        <f>'2. System Charts'!O21</f>
        <v/>
      </c>
      <c r="BL21" t="str">
        <f>'2. System Charts'!P21</f>
        <v/>
      </c>
      <c r="BM21" t="str">
        <f>'2. System Charts'!Q21</f>
        <v/>
      </c>
      <c r="BN21" t="str">
        <f>'2. System Charts'!R21</f>
        <v/>
      </c>
      <c r="BO21" t="str">
        <f>'2. System Charts'!S21</f>
        <v/>
      </c>
      <c r="BP21" t="str">
        <f>'2. System Charts'!T21</f>
        <v/>
      </c>
      <c r="BQ21" t="str">
        <f>'2. System Charts'!U21</f>
        <v/>
      </c>
      <c r="BR21" t="str">
        <f>'2. System Charts'!V21</f>
        <v/>
      </c>
      <c r="BS21" t="str">
        <f>'2. System Charts'!W21</f>
        <v/>
      </c>
      <c r="BT21" t="str">
        <f>'2. System Charts'!X21</f>
        <v/>
      </c>
      <c r="BU21" t="str">
        <f>'2. System Charts'!Y21</f>
        <v/>
      </c>
      <c r="BV21" t="str">
        <f>'2. System Charts'!Z21</f>
        <v/>
      </c>
      <c r="BW21" t="str">
        <f>'2. System Charts'!AA21</f>
        <v/>
      </c>
      <c r="BX21" t="str">
        <f>'2. System Charts'!AB21</f>
        <v/>
      </c>
      <c r="BY21" t="str">
        <f>'2. System Charts'!AC21</f>
        <v/>
      </c>
      <c r="BZ21" t="str">
        <f>'2. System Charts'!AD21</f>
        <v/>
      </c>
      <c r="CA21" t="str">
        <f>'2. System Charts'!AE21</f>
        <v/>
      </c>
      <c r="CB21" t="str">
        <f>'2. System Charts'!AF21</f>
        <v/>
      </c>
    </row>
    <row r="22" spans="11:80">
      <c r="K22">
        <f t="shared" si="0"/>
        <v>2.6</v>
      </c>
      <c r="L22" s="593">
        <f t="shared" si="45"/>
        <v>0</v>
      </c>
      <c r="M22" s="593">
        <f t="shared" si="3"/>
        <v>0</v>
      </c>
      <c r="N22" s="593">
        <f t="shared" si="4"/>
        <v>0</v>
      </c>
      <c r="O22" s="593">
        <f t="shared" si="5"/>
        <v>0</v>
      </c>
      <c r="P22" s="593">
        <f t="shared" si="6"/>
        <v>0</v>
      </c>
      <c r="Q22" s="593">
        <f t="shared" si="7"/>
        <v>0</v>
      </c>
      <c r="R22" s="593">
        <f t="shared" si="8"/>
        <v>0</v>
      </c>
      <c r="S22" s="593">
        <f t="shared" si="9"/>
        <v>0</v>
      </c>
      <c r="T22" s="593">
        <f t="shared" si="10"/>
        <v>0</v>
      </c>
      <c r="U22" s="593">
        <f t="shared" si="11"/>
        <v>0</v>
      </c>
      <c r="V22" s="593">
        <f t="shared" si="12"/>
        <v>0</v>
      </c>
      <c r="W22" s="593">
        <f t="shared" si="13"/>
        <v>0</v>
      </c>
      <c r="X22" s="593">
        <f t="shared" si="14"/>
        <v>0</v>
      </c>
      <c r="Y22" s="593">
        <f t="shared" si="15"/>
        <v>0</v>
      </c>
      <c r="Z22" s="593">
        <f t="shared" si="16"/>
        <v>0</v>
      </c>
      <c r="AA22" s="593">
        <f t="shared" si="17"/>
        <v>0</v>
      </c>
      <c r="AB22" s="593">
        <f t="shared" si="18"/>
        <v>0</v>
      </c>
      <c r="AC22" s="593">
        <f t="shared" si="19"/>
        <v>0</v>
      </c>
      <c r="AD22" s="593">
        <f t="shared" si="20"/>
        <v>0</v>
      </c>
      <c r="AE22" s="593">
        <f t="shared" si="21"/>
        <v>0</v>
      </c>
      <c r="AF22" s="593">
        <f t="shared" si="22"/>
        <v>0</v>
      </c>
      <c r="AI22">
        <f t="shared" si="23"/>
        <v>2.6</v>
      </c>
      <c r="AJ22">
        <f t="shared" si="24"/>
        <v>0</v>
      </c>
      <c r="AK22">
        <f t="shared" si="25"/>
        <v>0</v>
      </c>
      <c r="AL22">
        <f t="shared" si="26"/>
        <v>0</v>
      </c>
      <c r="AM22">
        <f t="shared" si="27"/>
        <v>0</v>
      </c>
      <c r="AN22">
        <f t="shared" si="28"/>
        <v>0</v>
      </c>
      <c r="AO22">
        <f t="shared" si="29"/>
        <v>0</v>
      </c>
      <c r="AP22">
        <f t="shared" si="30"/>
        <v>0</v>
      </c>
      <c r="AQ22">
        <f t="shared" si="31"/>
        <v>0</v>
      </c>
      <c r="AR22">
        <f t="shared" si="32"/>
        <v>0</v>
      </c>
      <c r="AS22">
        <f t="shared" si="33"/>
        <v>0</v>
      </c>
      <c r="AT22">
        <f t="shared" si="34"/>
        <v>0</v>
      </c>
      <c r="AU22">
        <f t="shared" si="35"/>
        <v>0</v>
      </c>
      <c r="AV22">
        <f t="shared" si="36"/>
        <v>0</v>
      </c>
      <c r="AW22">
        <f t="shared" si="37"/>
        <v>0</v>
      </c>
      <c r="AX22">
        <f t="shared" si="38"/>
        <v>0</v>
      </c>
      <c r="AY22">
        <f t="shared" si="39"/>
        <v>0</v>
      </c>
      <c r="AZ22">
        <f t="shared" si="40"/>
        <v>0</v>
      </c>
      <c r="BA22">
        <f t="shared" si="41"/>
        <v>0</v>
      </c>
      <c r="BB22">
        <f t="shared" si="42"/>
        <v>0</v>
      </c>
      <c r="BC22">
        <f t="shared" si="43"/>
        <v>0</v>
      </c>
      <c r="BD22">
        <f t="shared" si="44"/>
        <v>0</v>
      </c>
      <c r="BG22">
        <f>'2. System Charts'!K22</f>
        <v>2.6</v>
      </c>
      <c r="BH22" t="str">
        <f>'2. System Charts'!L22</f>
        <v/>
      </c>
      <c r="BI22" t="str">
        <f>'2. System Charts'!M22</f>
        <v/>
      </c>
      <c r="BJ22" t="str">
        <f>'2. System Charts'!N22</f>
        <v/>
      </c>
      <c r="BK22" t="str">
        <f>'2. System Charts'!O22</f>
        <v/>
      </c>
      <c r="BL22" t="str">
        <f>'2. System Charts'!P22</f>
        <v/>
      </c>
      <c r="BM22" t="str">
        <f>'2. System Charts'!Q22</f>
        <v/>
      </c>
      <c r="BN22" t="str">
        <f>'2. System Charts'!R22</f>
        <v/>
      </c>
      <c r="BO22" t="str">
        <f>'2. System Charts'!S22</f>
        <v/>
      </c>
      <c r="BP22" t="str">
        <f>'2. System Charts'!T22</f>
        <v/>
      </c>
      <c r="BQ22" t="str">
        <f>'2. System Charts'!U22</f>
        <v/>
      </c>
      <c r="BR22" t="str">
        <f>'2. System Charts'!V22</f>
        <v/>
      </c>
      <c r="BS22" t="str">
        <f>'2. System Charts'!W22</f>
        <v/>
      </c>
      <c r="BT22" t="str">
        <f>'2. System Charts'!X22</f>
        <v/>
      </c>
      <c r="BU22" t="str">
        <f>'2. System Charts'!Y22</f>
        <v/>
      </c>
      <c r="BV22" t="str">
        <f>'2. System Charts'!Z22</f>
        <v/>
      </c>
      <c r="BW22" t="str">
        <f>'2. System Charts'!AA22</f>
        <v/>
      </c>
      <c r="BX22" t="str">
        <f>'2. System Charts'!AB22</f>
        <v/>
      </c>
      <c r="BY22" t="str">
        <f>'2. System Charts'!AC22</f>
        <v/>
      </c>
      <c r="BZ22" t="str">
        <f>'2. System Charts'!AD22</f>
        <v/>
      </c>
      <c r="CA22" t="str">
        <f>'2. System Charts'!AE22</f>
        <v/>
      </c>
      <c r="CB22" t="str">
        <f>'2. System Charts'!AF22</f>
        <v/>
      </c>
    </row>
    <row r="23" spans="11:80">
      <c r="K23">
        <f t="shared" si="0"/>
        <v>2.8</v>
      </c>
      <c r="L23" s="593">
        <f t="shared" si="45"/>
        <v>0</v>
      </c>
      <c r="M23" s="593">
        <f t="shared" si="3"/>
        <v>0</v>
      </c>
      <c r="N23" s="593">
        <f t="shared" si="4"/>
        <v>0</v>
      </c>
      <c r="O23" s="593">
        <f t="shared" si="5"/>
        <v>0</v>
      </c>
      <c r="P23" s="593">
        <f t="shared" si="6"/>
        <v>0</v>
      </c>
      <c r="Q23" s="593">
        <f t="shared" si="7"/>
        <v>0</v>
      </c>
      <c r="R23" s="593">
        <f t="shared" si="8"/>
        <v>0</v>
      </c>
      <c r="S23" s="593">
        <f t="shared" si="9"/>
        <v>0</v>
      </c>
      <c r="T23" s="593">
        <f t="shared" si="10"/>
        <v>0</v>
      </c>
      <c r="U23" s="593">
        <f t="shared" si="11"/>
        <v>0</v>
      </c>
      <c r="V23" s="593">
        <f t="shared" si="12"/>
        <v>0</v>
      </c>
      <c r="W23" s="593">
        <f t="shared" si="13"/>
        <v>0</v>
      </c>
      <c r="X23" s="593">
        <f t="shared" si="14"/>
        <v>0</v>
      </c>
      <c r="Y23" s="593">
        <f t="shared" si="15"/>
        <v>0</v>
      </c>
      <c r="Z23" s="593">
        <f t="shared" si="16"/>
        <v>0</v>
      </c>
      <c r="AA23" s="593">
        <f t="shared" si="17"/>
        <v>0</v>
      </c>
      <c r="AB23" s="593">
        <f t="shared" si="18"/>
        <v>0</v>
      </c>
      <c r="AC23" s="593">
        <f t="shared" si="19"/>
        <v>0</v>
      </c>
      <c r="AD23" s="593">
        <f t="shared" si="20"/>
        <v>0</v>
      </c>
      <c r="AE23" s="593">
        <f t="shared" si="21"/>
        <v>0</v>
      </c>
      <c r="AF23" s="593">
        <f t="shared" si="22"/>
        <v>0</v>
      </c>
      <c r="AI23">
        <f t="shared" si="23"/>
        <v>2.8</v>
      </c>
      <c r="AJ23">
        <f t="shared" si="24"/>
        <v>0</v>
      </c>
      <c r="AK23">
        <f t="shared" si="25"/>
        <v>0</v>
      </c>
      <c r="AL23">
        <f t="shared" si="26"/>
        <v>0</v>
      </c>
      <c r="AM23">
        <f t="shared" si="27"/>
        <v>0</v>
      </c>
      <c r="AN23">
        <f t="shared" si="28"/>
        <v>0</v>
      </c>
      <c r="AO23">
        <f t="shared" si="29"/>
        <v>0</v>
      </c>
      <c r="AP23">
        <f t="shared" si="30"/>
        <v>0</v>
      </c>
      <c r="AQ23">
        <f t="shared" si="31"/>
        <v>0</v>
      </c>
      <c r="AR23">
        <f t="shared" si="32"/>
        <v>0</v>
      </c>
      <c r="AS23">
        <f t="shared" si="33"/>
        <v>0</v>
      </c>
      <c r="AT23">
        <f t="shared" si="34"/>
        <v>0</v>
      </c>
      <c r="AU23">
        <f t="shared" si="35"/>
        <v>0</v>
      </c>
      <c r="AV23">
        <f t="shared" si="36"/>
        <v>0</v>
      </c>
      <c r="AW23">
        <f t="shared" si="37"/>
        <v>0</v>
      </c>
      <c r="AX23">
        <f t="shared" si="38"/>
        <v>0</v>
      </c>
      <c r="AY23">
        <f t="shared" si="39"/>
        <v>0</v>
      </c>
      <c r="AZ23">
        <f t="shared" si="40"/>
        <v>0</v>
      </c>
      <c r="BA23">
        <f t="shared" si="41"/>
        <v>0</v>
      </c>
      <c r="BB23">
        <f t="shared" si="42"/>
        <v>0</v>
      </c>
      <c r="BC23">
        <f t="shared" si="43"/>
        <v>0</v>
      </c>
      <c r="BD23">
        <f t="shared" si="44"/>
        <v>0</v>
      </c>
      <c r="BG23">
        <f>'2. System Charts'!K23</f>
        <v>2.8</v>
      </c>
      <c r="BH23" t="str">
        <f>'2. System Charts'!L23</f>
        <v/>
      </c>
      <c r="BI23" t="str">
        <f>'2. System Charts'!M23</f>
        <v/>
      </c>
      <c r="BJ23" t="str">
        <f>'2. System Charts'!N23</f>
        <v/>
      </c>
      <c r="BK23" t="str">
        <f>'2. System Charts'!O23</f>
        <v/>
      </c>
      <c r="BL23" t="str">
        <f>'2. System Charts'!P23</f>
        <v/>
      </c>
      <c r="BM23" t="str">
        <f>'2. System Charts'!Q23</f>
        <v/>
      </c>
      <c r="BN23" t="str">
        <f>'2. System Charts'!R23</f>
        <v/>
      </c>
      <c r="BO23" t="str">
        <f>'2. System Charts'!S23</f>
        <v/>
      </c>
      <c r="BP23" t="str">
        <f>'2. System Charts'!T23</f>
        <v/>
      </c>
      <c r="BQ23" t="str">
        <f>'2. System Charts'!U23</f>
        <v/>
      </c>
      <c r="BR23" t="str">
        <f>'2. System Charts'!V23</f>
        <v/>
      </c>
      <c r="BS23" t="str">
        <f>'2. System Charts'!W23</f>
        <v/>
      </c>
      <c r="BT23" t="str">
        <f>'2. System Charts'!X23</f>
        <v/>
      </c>
      <c r="BU23" t="str">
        <f>'2. System Charts'!Y23</f>
        <v/>
      </c>
      <c r="BV23" t="str">
        <f>'2. System Charts'!Z23</f>
        <v/>
      </c>
      <c r="BW23" t="str">
        <f>'2. System Charts'!AA23</f>
        <v/>
      </c>
      <c r="BX23" t="str">
        <f>'2. System Charts'!AB23</f>
        <v/>
      </c>
      <c r="BY23" t="str">
        <f>'2. System Charts'!AC23</f>
        <v/>
      </c>
      <c r="BZ23" t="str">
        <f>'2. System Charts'!AD23</f>
        <v/>
      </c>
      <c r="CA23" t="str">
        <f>'2. System Charts'!AE23</f>
        <v/>
      </c>
      <c r="CB23" t="str">
        <f>'2. System Charts'!AF23</f>
        <v/>
      </c>
    </row>
    <row r="24" spans="11:80">
      <c r="K24">
        <f t="shared" si="0"/>
        <v>3</v>
      </c>
      <c r="L24" s="593">
        <f t="shared" si="45"/>
        <v>0</v>
      </c>
      <c r="M24" s="593">
        <f t="shared" si="3"/>
        <v>0</v>
      </c>
      <c r="N24" s="593">
        <f t="shared" si="4"/>
        <v>0</v>
      </c>
      <c r="O24" s="593">
        <f t="shared" si="5"/>
        <v>0</v>
      </c>
      <c r="P24" s="593">
        <f t="shared" si="6"/>
        <v>0</v>
      </c>
      <c r="Q24" s="593">
        <f t="shared" si="7"/>
        <v>0</v>
      </c>
      <c r="R24" s="593">
        <f t="shared" si="8"/>
        <v>0</v>
      </c>
      <c r="S24" s="593">
        <f t="shared" si="9"/>
        <v>0</v>
      </c>
      <c r="T24" s="593">
        <f t="shared" si="10"/>
        <v>0</v>
      </c>
      <c r="U24" s="593">
        <f t="shared" si="11"/>
        <v>0</v>
      </c>
      <c r="V24" s="593">
        <f t="shared" si="12"/>
        <v>0</v>
      </c>
      <c r="W24" s="593">
        <f t="shared" si="13"/>
        <v>0</v>
      </c>
      <c r="X24" s="593">
        <f t="shared" si="14"/>
        <v>0</v>
      </c>
      <c r="Y24" s="593">
        <f t="shared" si="15"/>
        <v>0</v>
      </c>
      <c r="Z24" s="593">
        <f t="shared" si="16"/>
        <v>0</v>
      </c>
      <c r="AA24" s="593">
        <f t="shared" si="17"/>
        <v>0</v>
      </c>
      <c r="AB24" s="593">
        <f t="shared" si="18"/>
        <v>0</v>
      </c>
      <c r="AC24" s="593">
        <f t="shared" si="19"/>
        <v>0</v>
      </c>
      <c r="AD24" s="593">
        <f t="shared" si="20"/>
        <v>0</v>
      </c>
      <c r="AE24" s="593">
        <f t="shared" si="21"/>
        <v>0</v>
      </c>
      <c r="AF24" s="593">
        <f t="shared" si="22"/>
        <v>0</v>
      </c>
      <c r="AI24">
        <f t="shared" si="23"/>
        <v>3</v>
      </c>
      <c r="AJ24">
        <f t="shared" si="24"/>
        <v>0</v>
      </c>
      <c r="AK24">
        <f t="shared" si="25"/>
        <v>0</v>
      </c>
      <c r="AL24">
        <f t="shared" si="26"/>
        <v>0</v>
      </c>
      <c r="AM24">
        <f t="shared" si="27"/>
        <v>0</v>
      </c>
      <c r="AN24">
        <f t="shared" si="28"/>
        <v>0</v>
      </c>
      <c r="AO24">
        <f t="shared" si="29"/>
        <v>0</v>
      </c>
      <c r="AP24">
        <f t="shared" si="30"/>
        <v>0</v>
      </c>
      <c r="AQ24">
        <f t="shared" si="31"/>
        <v>0</v>
      </c>
      <c r="AR24">
        <f t="shared" si="32"/>
        <v>0</v>
      </c>
      <c r="AS24">
        <f t="shared" si="33"/>
        <v>0</v>
      </c>
      <c r="AT24">
        <f t="shared" si="34"/>
        <v>0</v>
      </c>
      <c r="AU24">
        <f t="shared" si="35"/>
        <v>0</v>
      </c>
      <c r="AV24">
        <f t="shared" si="36"/>
        <v>0</v>
      </c>
      <c r="AW24">
        <f t="shared" si="37"/>
        <v>0</v>
      </c>
      <c r="AX24">
        <f t="shared" si="38"/>
        <v>0</v>
      </c>
      <c r="AY24">
        <f t="shared" si="39"/>
        <v>0</v>
      </c>
      <c r="AZ24">
        <f t="shared" si="40"/>
        <v>0</v>
      </c>
      <c r="BA24">
        <f t="shared" si="41"/>
        <v>0</v>
      </c>
      <c r="BB24">
        <f t="shared" si="42"/>
        <v>0</v>
      </c>
      <c r="BC24">
        <f t="shared" si="43"/>
        <v>0</v>
      </c>
      <c r="BD24">
        <f t="shared" si="44"/>
        <v>0</v>
      </c>
      <c r="BG24">
        <f>'2. System Charts'!K24</f>
        <v>3</v>
      </c>
      <c r="BH24" t="str">
        <f>'2. System Charts'!L24</f>
        <v/>
      </c>
      <c r="BI24" t="str">
        <f>'2. System Charts'!M24</f>
        <v/>
      </c>
      <c r="BJ24" t="str">
        <f>'2. System Charts'!N24</f>
        <v/>
      </c>
      <c r="BK24" t="str">
        <f>'2. System Charts'!O24</f>
        <v/>
      </c>
      <c r="BL24" t="str">
        <f>'2. System Charts'!P24</f>
        <v/>
      </c>
      <c r="BM24" t="str">
        <f>'2. System Charts'!Q24</f>
        <v/>
      </c>
      <c r="BN24" t="str">
        <f>'2. System Charts'!R24</f>
        <v/>
      </c>
      <c r="BO24" t="str">
        <f>'2. System Charts'!S24</f>
        <v/>
      </c>
      <c r="BP24" t="str">
        <f>'2. System Charts'!T24</f>
        <v/>
      </c>
      <c r="BQ24" t="str">
        <f>'2. System Charts'!U24</f>
        <v/>
      </c>
      <c r="BR24" t="str">
        <f>'2. System Charts'!V24</f>
        <v/>
      </c>
      <c r="BS24" t="str">
        <f>'2. System Charts'!W24</f>
        <v/>
      </c>
      <c r="BT24" t="str">
        <f>'2. System Charts'!X24</f>
        <v/>
      </c>
      <c r="BU24" t="str">
        <f>'2. System Charts'!Y24</f>
        <v/>
      </c>
      <c r="BV24" t="str">
        <f>'2. System Charts'!Z24</f>
        <v/>
      </c>
      <c r="BW24" t="str">
        <f>'2. System Charts'!AA24</f>
        <v/>
      </c>
      <c r="BX24" t="str">
        <f>'2. System Charts'!AB24</f>
        <v/>
      </c>
      <c r="BY24" t="str">
        <f>'2. System Charts'!AC24</f>
        <v/>
      </c>
      <c r="BZ24" t="str">
        <f>'2. System Charts'!AD24</f>
        <v/>
      </c>
      <c r="CA24" t="str">
        <f>'2. System Charts'!AE24</f>
        <v/>
      </c>
      <c r="CB24" t="str">
        <f>'2. System Charts'!AF24</f>
        <v/>
      </c>
    </row>
    <row r="25" spans="11:80">
      <c r="K25">
        <f t="shared" si="0"/>
        <v>3.2</v>
      </c>
      <c r="L25" s="593">
        <f t="shared" si="45"/>
        <v>0</v>
      </c>
      <c r="M25" s="593">
        <f t="shared" si="3"/>
        <v>0</v>
      </c>
      <c r="N25" s="593">
        <f t="shared" si="4"/>
        <v>0</v>
      </c>
      <c r="O25" s="593">
        <f t="shared" si="5"/>
        <v>0</v>
      </c>
      <c r="P25" s="593">
        <f t="shared" si="6"/>
        <v>0</v>
      </c>
      <c r="Q25" s="593">
        <f t="shared" si="7"/>
        <v>0</v>
      </c>
      <c r="R25" s="593">
        <f t="shared" si="8"/>
        <v>0</v>
      </c>
      <c r="S25" s="593">
        <f t="shared" si="9"/>
        <v>0</v>
      </c>
      <c r="T25" s="593">
        <f t="shared" si="10"/>
        <v>0</v>
      </c>
      <c r="U25" s="593">
        <f t="shared" si="11"/>
        <v>0</v>
      </c>
      <c r="V25" s="593">
        <f t="shared" si="12"/>
        <v>0</v>
      </c>
      <c r="W25" s="593">
        <f t="shared" si="13"/>
        <v>0</v>
      </c>
      <c r="X25" s="593">
        <f t="shared" si="14"/>
        <v>0</v>
      </c>
      <c r="Y25" s="593">
        <f t="shared" si="15"/>
        <v>0</v>
      </c>
      <c r="Z25" s="593">
        <f t="shared" si="16"/>
        <v>0</v>
      </c>
      <c r="AA25" s="593">
        <f t="shared" si="17"/>
        <v>0</v>
      </c>
      <c r="AB25" s="593">
        <f t="shared" si="18"/>
        <v>0</v>
      </c>
      <c r="AC25" s="593">
        <f t="shared" si="19"/>
        <v>0</v>
      </c>
      <c r="AD25" s="593">
        <f t="shared" si="20"/>
        <v>0</v>
      </c>
      <c r="AE25" s="593">
        <f t="shared" si="21"/>
        <v>0</v>
      </c>
      <c r="AF25" s="593">
        <f t="shared" si="22"/>
        <v>0</v>
      </c>
      <c r="AI25">
        <f t="shared" si="23"/>
        <v>3.2</v>
      </c>
      <c r="AJ25">
        <f t="shared" si="24"/>
        <v>0</v>
      </c>
      <c r="AK25">
        <f t="shared" si="25"/>
        <v>0</v>
      </c>
      <c r="AL25">
        <f t="shared" si="26"/>
        <v>0</v>
      </c>
      <c r="AM25">
        <f t="shared" si="27"/>
        <v>0</v>
      </c>
      <c r="AN25">
        <f t="shared" si="28"/>
        <v>0</v>
      </c>
      <c r="AO25">
        <f t="shared" si="29"/>
        <v>0</v>
      </c>
      <c r="AP25">
        <f t="shared" si="30"/>
        <v>0</v>
      </c>
      <c r="AQ25">
        <f t="shared" si="31"/>
        <v>0</v>
      </c>
      <c r="AR25">
        <f t="shared" si="32"/>
        <v>0</v>
      </c>
      <c r="AS25">
        <f t="shared" si="33"/>
        <v>0</v>
      </c>
      <c r="AT25">
        <f t="shared" si="34"/>
        <v>0</v>
      </c>
      <c r="AU25">
        <f t="shared" si="35"/>
        <v>0</v>
      </c>
      <c r="AV25">
        <f t="shared" si="36"/>
        <v>0</v>
      </c>
      <c r="AW25">
        <f t="shared" si="37"/>
        <v>0</v>
      </c>
      <c r="AX25">
        <f t="shared" si="38"/>
        <v>0</v>
      </c>
      <c r="AY25">
        <f t="shared" si="39"/>
        <v>0</v>
      </c>
      <c r="AZ25">
        <f t="shared" si="40"/>
        <v>0</v>
      </c>
      <c r="BA25">
        <f t="shared" si="41"/>
        <v>0</v>
      </c>
      <c r="BB25">
        <f t="shared" si="42"/>
        <v>0</v>
      </c>
      <c r="BC25">
        <f t="shared" si="43"/>
        <v>0</v>
      </c>
      <c r="BD25">
        <f t="shared" si="44"/>
        <v>0</v>
      </c>
      <c r="BG25">
        <f>'2. System Charts'!K25</f>
        <v>3.2</v>
      </c>
      <c r="BH25" t="str">
        <f>'2. System Charts'!L25</f>
        <v/>
      </c>
      <c r="BI25" t="str">
        <f>'2. System Charts'!M25</f>
        <v/>
      </c>
      <c r="BJ25" t="str">
        <f>'2. System Charts'!N25</f>
        <v/>
      </c>
      <c r="BK25" t="str">
        <f>'2. System Charts'!O25</f>
        <v/>
      </c>
      <c r="BL25" t="str">
        <f>'2. System Charts'!P25</f>
        <v/>
      </c>
      <c r="BM25" t="str">
        <f>'2. System Charts'!Q25</f>
        <v/>
      </c>
      <c r="BN25" t="str">
        <f>'2. System Charts'!R25</f>
        <v/>
      </c>
      <c r="BO25" t="str">
        <f>'2. System Charts'!S25</f>
        <v/>
      </c>
      <c r="BP25" t="str">
        <f>'2. System Charts'!T25</f>
        <v/>
      </c>
      <c r="BQ25" t="str">
        <f>'2. System Charts'!U25</f>
        <v/>
      </c>
      <c r="BR25" t="str">
        <f>'2. System Charts'!V25</f>
        <v/>
      </c>
      <c r="BS25" t="str">
        <f>'2. System Charts'!W25</f>
        <v/>
      </c>
      <c r="BT25" t="str">
        <f>'2. System Charts'!X25</f>
        <v/>
      </c>
      <c r="BU25" t="str">
        <f>'2. System Charts'!Y25</f>
        <v/>
      </c>
      <c r="BV25" t="str">
        <f>'2. System Charts'!Z25</f>
        <v/>
      </c>
      <c r="BW25" t="str">
        <f>'2. System Charts'!AA25</f>
        <v/>
      </c>
      <c r="BX25" t="str">
        <f>'2. System Charts'!AB25</f>
        <v/>
      </c>
      <c r="BY25" t="str">
        <f>'2. System Charts'!AC25</f>
        <v/>
      </c>
      <c r="BZ25" t="str">
        <f>'2. System Charts'!AD25</f>
        <v/>
      </c>
      <c r="CA25" t="str">
        <f>'2. System Charts'!AE25</f>
        <v/>
      </c>
      <c r="CB25" t="str">
        <f>'2. System Charts'!AF25</f>
        <v/>
      </c>
    </row>
    <row r="26" spans="11:80">
      <c r="K26">
        <f t="shared" si="0"/>
        <v>3.4</v>
      </c>
      <c r="L26" s="593">
        <f t="shared" si="45"/>
        <v>0</v>
      </c>
      <c r="M26" s="593">
        <f t="shared" si="3"/>
        <v>0</v>
      </c>
      <c r="N26" s="593">
        <f t="shared" si="4"/>
        <v>0</v>
      </c>
      <c r="O26" s="593">
        <f t="shared" si="5"/>
        <v>0</v>
      </c>
      <c r="P26" s="593">
        <f t="shared" si="6"/>
        <v>0</v>
      </c>
      <c r="Q26" s="593">
        <f t="shared" si="7"/>
        <v>0</v>
      </c>
      <c r="R26" s="593">
        <f t="shared" si="8"/>
        <v>0</v>
      </c>
      <c r="S26" s="593">
        <f t="shared" si="9"/>
        <v>0</v>
      </c>
      <c r="T26" s="593">
        <f t="shared" si="10"/>
        <v>0</v>
      </c>
      <c r="U26" s="593">
        <f t="shared" si="11"/>
        <v>0</v>
      </c>
      <c r="V26" s="593">
        <f t="shared" si="12"/>
        <v>0</v>
      </c>
      <c r="W26" s="593">
        <f t="shared" si="13"/>
        <v>0</v>
      </c>
      <c r="X26" s="593">
        <f t="shared" si="14"/>
        <v>0</v>
      </c>
      <c r="Y26" s="593">
        <f t="shared" si="15"/>
        <v>0</v>
      </c>
      <c r="Z26" s="593">
        <f t="shared" si="16"/>
        <v>0</v>
      </c>
      <c r="AA26" s="593">
        <f t="shared" si="17"/>
        <v>0</v>
      </c>
      <c r="AB26" s="593">
        <f t="shared" si="18"/>
        <v>0</v>
      </c>
      <c r="AC26" s="593">
        <f t="shared" si="19"/>
        <v>0</v>
      </c>
      <c r="AD26" s="593">
        <f t="shared" si="20"/>
        <v>0</v>
      </c>
      <c r="AE26" s="593">
        <f t="shared" si="21"/>
        <v>0</v>
      </c>
      <c r="AF26" s="593">
        <f t="shared" si="22"/>
        <v>0</v>
      </c>
      <c r="AI26">
        <f t="shared" si="23"/>
        <v>3.4</v>
      </c>
      <c r="AJ26">
        <f t="shared" si="24"/>
        <v>0</v>
      </c>
      <c r="AK26">
        <f t="shared" si="25"/>
        <v>0</v>
      </c>
      <c r="AL26">
        <f t="shared" si="26"/>
        <v>0</v>
      </c>
      <c r="AM26">
        <f t="shared" si="27"/>
        <v>0</v>
      </c>
      <c r="AN26">
        <f t="shared" si="28"/>
        <v>0</v>
      </c>
      <c r="AO26">
        <f t="shared" si="29"/>
        <v>0</v>
      </c>
      <c r="AP26">
        <f t="shared" si="30"/>
        <v>0</v>
      </c>
      <c r="AQ26">
        <f t="shared" si="31"/>
        <v>0</v>
      </c>
      <c r="AR26">
        <f t="shared" si="32"/>
        <v>0</v>
      </c>
      <c r="AS26">
        <f t="shared" si="33"/>
        <v>0</v>
      </c>
      <c r="AT26">
        <f t="shared" si="34"/>
        <v>0</v>
      </c>
      <c r="AU26">
        <f t="shared" si="35"/>
        <v>0</v>
      </c>
      <c r="AV26">
        <f t="shared" si="36"/>
        <v>0</v>
      </c>
      <c r="AW26">
        <f t="shared" si="37"/>
        <v>0</v>
      </c>
      <c r="AX26">
        <f t="shared" si="38"/>
        <v>0</v>
      </c>
      <c r="AY26">
        <f t="shared" si="39"/>
        <v>0</v>
      </c>
      <c r="AZ26">
        <f t="shared" si="40"/>
        <v>0</v>
      </c>
      <c r="BA26">
        <f t="shared" si="41"/>
        <v>0</v>
      </c>
      <c r="BB26">
        <f t="shared" si="42"/>
        <v>0</v>
      </c>
      <c r="BC26">
        <f t="shared" si="43"/>
        <v>0</v>
      </c>
      <c r="BD26">
        <f t="shared" si="44"/>
        <v>0</v>
      </c>
      <c r="BG26">
        <f>'2. System Charts'!K26</f>
        <v>3.4</v>
      </c>
      <c r="BH26" t="str">
        <f>'2. System Charts'!L26</f>
        <v/>
      </c>
      <c r="BI26" t="str">
        <f>'2. System Charts'!M26</f>
        <v/>
      </c>
      <c r="BJ26" t="str">
        <f>'2. System Charts'!N26</f>
        <v/>
      </c>
      <c r="BK26" t="str">
        <f>'2. System Charts'!O26</f>
        <v/>
      </c>
      <c r="BL26" t="str">
        <f>'2. System Charts'!P26</f>
        <v/>
      </c>
      <c r="BM26" t="str">
        <f>'2. System Charts'!Q26</f>
        <v/>
      </c>
      <c r="BN26" t="str">
        <f>'2. System Charts'!R26</f>
        <v/>
      </c>
      <c r="BO26" t="str">
        <f>'2. System Charts'!S26</f>
        <v/>
      </c>
      <c r="BP26" t="str">
        <f>'2. System Charts'!T26</f>
        <v/>
      </c>
      <c r="BQ26" t="str">
        <f>'2. System Charts'!U26</f>
        <v/>
      </c>
      <c r="BR26" t="str">
        <f>'2. System Charts'!V26</f>
        <v/>
      </c>
      <c r="BS26" t="str">
        <f>'2. System Charts'!W26</f>
        <v/>
      </c>
      <c r="BT26" t="str">
        <f>'2. System Charts'!X26</f>
        <v/>
      </c>
      <c r="BU26" t="str">
        <f>'2. System Charts'!Y26</f>
        <v/>
      </c>
      <c r="BV26" t="str">
        <f>'2. System Charts'!Z26</f>
        <v/>
      </c>
      <c r="BW26" t="str">
        <f>'2. System Charts'!AA26</f>
        <v/>
      </c>
      <c r="BX26" t="str">
        <f>'2. System Charts'!AB26</f>
        <v/>
      </c>
      <c r="BY26" t="str">
        <f>'2. System Charts'!AC26</f>
        <v/>
      </c>
      <c r="BZ26" t="str">
        <f>'2. System Charts'!AD26</f>
        <v/>
      </c>
      <c r="CA26" t="str">
        <f>'2. System Charts'!AE26</f>
        <v/>
      </c>
      <c r="CB26" t="str">
        <f>'2. System Charts'!AF26</f>
        <v/>
      </c>
    </row>
    <row r="27" spans="11:80">
      <c r="K27">
        <f t="shared" si="0"/>
        <v>3.6</v>
      </c>
      <c r="L27" s="593">
        <f t="shared" si="45"/>
        <v>0</v>
      </c>
      <c r="M27" s="593">
        <f t="shared" si="3"/>
        <v>0</v>
      </c>
      <c r="N27" s="593">
        <f t="shared" si="4"/>
        <v>0</v>
      </c>
      <c r="O27" s="593">
        <f t="shared" si="5"/>
        <v>0</v>
      </c>
      <c r="P27" s="593">
        <f t="shared" si="6"/>
        <v>0</v>
      </c>
      <c r="Q27" s="593">
        <f t="shared" si="7"/>
        <v>0</v>
      </c>
      <c r="R27" s="593">
        <f t="shared" si="8"/>
        <v>0</v>
      </c>
      <c r="S27" s="593">
        <f t="shared" si="9"/>
        <v>0</v>
      </c>
      <c r="T27" s="593">
        <f t="shared" si="10"/>
        <v>0</v>
      </c>
      <c r="U27" s="593">
        <f t="shared" si="11"/>
        <v>0</v>
      </c>
      <c r="V27" s="593">
        <f t="shared" si="12"/>
        <v>0</v>
      </c>
      <c r="W27" s="593">
        <f t="shared" si="13"/>
        <v>0</v>
      </c>
      <c r="X27" s="593">
        <f t="shared" si="14"/>
        <v>0</v>
      </c>
      <c r="Y27" s="593">
        <f t="shared" si="15"/>
        <v>0</v>
      </c>
      <c r="Z27" s="593">
        <f t="shared" si="16"/>
        <v>0</v>
      </c>
      <c r="AA27" s="593">
        <f t="shared" si="17"/>
        <v>0</v>
      </c>
      <c r="AB27" s="593">
        <f t="shared" si="18"/>
        <v>0</v>
      </c>
      <c r="AC27" s="593">
        <f t="shared" si="19"/>
        <v>0</v>
      </c>
      <c r="AD27" s="593">
        <f t="shared" si="20"/>
        <v>0</v>
      </c>
      <c r="AE27" s="593">
        <f t="shared" si="21"/>
        <v>0</v>
      </c>
      <c r="AF27" s="593">
        <f t="shared" si="22"/>
        <v>0</v>
      </c>
      <c r="AI27">
        <f t="shared" si="23"/>
        <v>3.6</v>
      </c>
      <c r="AJ27">
        <f t="shared" si="24"/>
        <v>0</v>
      </c>
      <c r="AK27">
        <f t="shared" si="25"/>
        <v>0</v>
      </c>
      <c r="AL27">
        <f t="shared" si="26"/>
        <v>0</v>
      </c>
      <c r="AM27">
        <f t="shared" si="27"/>
        <v>0</v>
      </c>
      <c r="AN27">
        <f t="shared" si="28"/>
        <v>0</v>
      </c>
      <c r="AO27">
        <f t="shared" si="29"/>
        <v>0</v>
      </c>
      <c r="AP27">
        <f t="shared" si="30"/>
        <v>0</v>
      </c>
      <c r="AQ27">
        <f t="shared" si="31"/>
        <v>0</v>
      </c>
      <c r="AR27">
        <f t="shared" si="32"/>
        <v>0</v>
      </c>
      <c r="AS27">
        <f t="shared" si="33"/>
        <v>0</v>
      </c>
      <c r="AT27">
        <f t="shared" si="34"/>
        <v>0</v>
      </c>
      <c r="AU27">
        <f t="shared" si="35"/>
        <v>0</v>
      </c>
      <c r="AV27">
        <f t="shared" si="36"/>
        <v>0</v>
      </c>
      <c r="AW27">
        <f t="shared" si="37"/>
        <v>0</v>
      </c>
      <c r="AX27">
        <f t="shared" si="38"/>
        <v>0</v>
      </c>
      <c r="AY27">
        <f t="shared" si="39"/>
        <v>0</v>
      </c>
      <c r="AZ27">
        <f t="shared" si="40"/>
        <v>0</v>
      </c>
      <c r="BA27">
        <f t="shared" si="41"/>
        <v>0</v>
      </c>
      <c r="BB27">
        <f t="shared" si="42"/>
        <v>0</v>
      </c>
      <c r="BC27">
        <f t="shared" si="43"/>
        <v>0</v>
      </c>
      <c r="BD27">
        <f t="shared" si="44"/>
        <v>0</v>
      </c>
      <c r="BG27">
        <f>'2. System Charts'!K27</f>
        <v>3.6</v>
      </c>
      <c r="BH27" t="str">
        <f>'2. System Charts'!L27</f>
        <v/>
      </c>
      <c r="BI27" t="str">
        <f>'2. System Charts'!M27</f>
        <v/>
      </c>
      <c r="BJ27" t="str">
        <f>'2. System Charts'!N27</f>
        <v/>
      </c>
      <c r="BK27" t="str">
        <f>'2. System Charts'!O27</f>
        <v/>
      </c>
      <c r="BL27" t="str">
        <f>'2. System Charts'!P27</f>
        <v/>
      </c>
      <c r="BM27" t="str">
        <f>'2. System Charts'!Q27</f>
        <v/>
      </c>
      <c r="BN27" t="str">
        <f>'2. System Charts'!R27</f>
        <v/>
      </c>
      <c r="BO27" t="str">
        <f>'2. System Charts'!S27</f>
        <v/>
      </c>
      <c r="BP27" t="str">
        <f>'2. System Charts'!T27</f>
        <v/>
      </c>
      <c r="BQ27" t="str">
        <f>'2. System Charts'!U27</f>
        <v/>
      </c>
      <c r="BR27" t="str">
        <f>'2. System Charts'!V27</f>
        <v/>
      </c>
      <c r="BS27" t="str">
        <f>'2. System Charts'!W27</f>
        <v/>
      </c>
      <c r="BT27" t="str">
        <f>'2. System Charts'!X27</f>
        <v/>
      </c>
      <c r="BU27" t="str">
        <f>'2. System Charts'!Y27</f>
        <v/>
      </c>
      <c r="BV27" t="str">
        <f>'2. System Charts'!Z27</f>
        <v/>
      </c>
      <c r="BW27" t="str">
        <f>'2. System Charts'!AA27</f>
        <v/>
      </c>
      <c r="BX27" t="str">
        <f>'2. System Charts'!AB27</f>
        <v/>
      </c>
      <c r="BY27" t="str">
        <f>'2. System Charts'!AC27</f>
        <v/>
      </c>
      <c r="BZ27" t="str">
        <f>'2. System Charts'!AD27</f>
        <v/>
      </c>
      <c r="CA27" t="str">
        <f>'2. System Charts'!AE27</f>
        <v/>
      </c>
      <c r="CB27" t="str">
        <f>'2. System Charts'!AF27</f>
        <v/>
      </c>
    </row>
  </sheetData>
  <conditionalFormatting sqref="L12:AF27">
    <cfRule type="expression" dxfId="47" priority="1">
      <formula>L12=3</formula>
    </cfRule>
    <cfRule type="expression" dxfId="46" priority="2">
      <formula>L12=2</formula>
    </cfRule>
    <cfRule type="expression" dxfId="45" priority="3">
      <formula>L12=1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A675-E1B2-434E-BC09-1372BEC73656}">
  <sheetPr codeName="Sheet20"/>
  <dimension ref="A1:AA110"/>
  <sheetViews>
    <sheetView showGridLines="0" showRowColHeaders="0" showRuler="0" workbookViewId="0"/>
  </sheetViews>
  <sheetFormatPr defaultRowHeight="14.5"/>
  <cols>
    <col min="1" max="1" width="17" bestFit="1" customWidth="1"/>
    <col min="4" max="5" width="12.54296875" bestFit="1" customWidth="1"/>
    <col min="6" max="6" width="8.54296875" customWidth="1"/>
    <col min="7" max="7" width="12.54296875" customWidth="1"/>
    <col min="8" max="8" width="10.453125" customWidth="1"/>
    <col min="9" max="9" width="7.54296875" bestFit="1" customWidth="1"/>
    <col min="10" max="10" width="12.453125" bestFit="1" customWidth="1"/>
    <col min="11" max="11" width="11.1796875" bestFit="1" customWidth="1"/>
    <col min="12" max="12" width="7.54296875" bestFit="1" customWidth="1"/>
    <col min="13" max="13" width="14" bestFit="1" customWidth="1"/>
    <col min="14" max="14" width="18.453125" bestFit="1" customWidth="1"/>
    <col min="15" max="15" width="12" bestFit="1" customWidth="1"/>
    <col min="16" max="16" width="18.81640625" bestFit="1" customWidth="1"/>
    <col min="17" max="17" width="18" bestFit="1" customWidth="1"/>
    <col min="18" max="18" width="27.54296875" bestFit="1" customWidth="1"/>
    <col min="19" max="19" width="16.54296875" customWidth="1"/>
    <col min="20" max="20" width="11.453125" bestFit="1" customWidth="1"/>
    <col min="21" max="21" width="11.453125" customWidth="1"/>
    <col min="22" max="22" width="7" bestFit="1" customWidth="1"/>
    <col min="23" max="23" width="15.453125" customWidth="1"/>
    <col min="24" max="24" width="17.54296875" customWidth="1"/>
    <col min="25" max="25" width="22.453125" customWidth="1"/>
    <col min="26" max="26" width="15.54296875" customWidth="1"/>
  </cols>
  <sheetData>
    <row r="1" spans="1:27" ht="18.5">
      <c r="D1" s="245" t="s">
        <v>868</v>
      </c>
      <c r="E1" s="245" t="e">
        <f ca="1">ESA_IdealSpringRate</f>
        <v>#DIV/0!</v>
      </c>
      <c r="H1" s="557" t="s">
        <v>869</v>
      </c>
    </row>
    <row r="2" spans="1:27">
      <c r="G2" t="s">
        <v>870</v>
      </c>
      <c r="O2">
        <f>MAX(O4:O110)</f>
        <v>1.5719062500000005</v>
      </c>
    </row>
    <row r="3" spans="1:27">
      <c r="D3" s="245" t="s">
        <v>871</v>
      </c>
      <c r="E3" s="245" t="s">
        <v>872</v>
      </c>
      <c r="F3" s="245" t="s">
        <v>873</v>
      </c>
      <c r="G3" s="245" t="s">
        <v>874</v>
      </c>
      <c r="H3" s="558" t="s">
        <v>875</v>
      </c>
      <c r="I3" s="245" t="s">
        <v>79</v>
      </c>
      <c r="J3" s="245" t="s">
        <v>876</v>
      </c>
      <c r="K3" s="245" t="s">
        <v>877</v>
      </c>
      <c r="L3" s="245" t="s">
        <v>878</v>
      </c>
      <c r="M3" s="245" t="s">
        <v>879</v>
      </c>
      <c r="N3" s="245" t="s">
        <v>56</v>
      </c>
      <c r="O3" s="245" t="s">
        <v>57</v>
      </c>
      <c r="P3" s="245" t="s">
        <v>880</v>
      </c>
      <c r="Q3" s="245" t="s">
        <v>881</v>
      </c>
      <c r="R3" s="245" t="s">
        <v>882</v>
      </c>
      <c r="S3" s="245" t="s">
        <v>883</v>
      </c>
      <c r="T3" s="245">
        <v>38.6</v>
      </c>
      <c r="U3" s="245" t="s">
        <v>988</v>
      </c>
      <c r="V3" s="245" t="s">
        <v>993</v>
      </c>
      <c r="W3" s="245" t="s">
        <v>884</v>
      </c>
      <c r="X3" s="245">
        <v>207000</v>
      </c>
      <c r="Y3" s="245"/>
      <c r="Z3" s="245" t="s">
        <v>885</v>
      </c>
      <c r="AA3" s="245">
        <v>19</v>
      </c>
    </row>
    <row r="4" spans="1:27">
      <c r="D4" s="559">
        <f>IF(input_BlindWidth=0.4,B8,B7)</f>
        <v>1.1510032737375672E-3</v>
      </c>
      <c r="E4" s="245">
        <v>2.6386167577458841E-3</v>
      </c>
      <c r="F4" s="245" t="e">
        <f t="shared" ref="F4:F18" ca="1" si="0">IF(G4&lt;&gt;"",IF(islandFilter_option="yes",IF(AND(MATCH(I4,list_boosterDescription,0)&gt;=MATCH(islandfilter_colMax,list_boosterIndex,0),MATCH(I4,list_boosterDescription,0)&gt;=MATCH(islandfilter_rowMax,list_boosterIndex,0)),"y",""),"y"),"")</f>
        <v>#DIV/0!</v>
      </c>
      <c r="G4" s="245" t="e">
        <f ca="1">IF(P4&lt;&gt;"",IF(OR(input_idealSpringRate&gt;_SpringData_L0!E4,input_idealSpringRate&lt;_SpringData_L0!$D$4),"n",IF(AND(input_idealSpringRate&lt;_SpringData_L0!E4,input_idealSpringRate&gt;_SpringData_L0!D4*$B$12),"y","n")),"")</f>
        <v>#DIV/0!</v>
      </c>
      <c r="H4" s="245">
        <v>205</v>
      </c>
      <c r="I4" s="245" t="s">
        <v>989</v>
      </c>
      <c r="J4" s="245">
        <v>0.8</v>
      </c>
      <c r="K4" s="245">
        <f t="shared" ref="K4:K17" si="1">J4+$AA$3</f>
        <v>19.8</v>
      </c>
      <c r="L4" s="245">
        <v>5</v>
      </c>
      <c r="M4" s="245">
        <v>167.5</v>
      </c>
      <c r="N4" s="245">
        <v>35</v>
      </c>
      <c r="O4" s="245">
        <f>IFERROR(($X$3*$J4^4*$N4)/(10.8*$M4*$K4*1000),"")</f>
        <v>8.2850394492185564E-2</v>
      </c>
      <c r="P4" s="245">
        <f>IFERROR(O4/N4,"")</f>
        <v>2.3671541283481591E-3</v>
      </c>
      <c r="Q4" s="245">
        <f t="shared" ref="Q4:Q17" si="2">32000*$O4/(PI()*$J4^3)</f>
        <v>1648.2562275681087</v>
      </c>
      <c r="R4" s="560" cm="1">
        <f t="array" aca="1" ref="R4" ca="1">_xlfn.XLOOKUP(I4,T_minESABlindWidth[Description],INDIRECT(_xlfn.CONCAT("T_minESABlindWidth[",i_idler,"]")))</f>
        <v>498</v>
      </c>
      <c r="S4" s="245">
        <f t="shared" ref="S4:S17" ca="1" si="3">R4*0.001</f>
        <v>0.498</v>
      </c>
      <c r="T4" s="245"/>
      <c r="U4" s="606" t="str">
        <f t="shared" ref="U4:U13" ca="1" si="4">IFERROR(ABS((P4-$E$1)/$E$1),"")</f>
        <v/>
      </c>
      <c r="V4" s="245" t="s">
        <v>887</v>
      </c>
      <c r="W4" s="245"/>
      <c r="X4" s="245"/>
      <c r="Y4" s="245"/>
      <c r="Z4" s="245"/>
      <c r="AA4" s="245"/>
    </row>
    <row r="5" spans="1:27">
      <c r="D5" s="245">
        <f t="shared" ref="D5:D24" si="5">IF(LEN(E4)&gt;0,E4*$B$11,"")</f>
        <v>9.2351586521105934E-4</v>
      </c>
      <c r="E5" s="245">
        <f t="shared" ref="E5:E24" si="6">IF(P5&lt;&gt;"",IF(AND(P5&lt;&gt;"",P5=""),P6*2,AVERAGE(P5:P6)),"")</f>
        <v>3.4028716718915875E-3</v>
      </c>
      <c r="F5" s="245" t="e">
        <f t="shared" ca="1" si="0"/>
        <v>#DIV/0!</v>
      </c>
      <c r="G5" s="245" t="e">
        <f ca="1">IF(P5&lt;&gt;"",IF(OR(input_idealSpringRate&gt;_SpringData_L0!E5,input_idealSpringRate&lt;_SpringData_L0!$D$4),"n",IF(AND(input_idealSpringRate&lt;_SpringData_L0!E5,input_idealSpringRate&gt;_SpringData_L0!D5*$B$12),"y","n")),"")</f>
        <v>#DIV/0!</v>
      </c>
      <c r="H5" s="245">
        <v>204</v>
      </c>
      <c r="I5" s="245" t="s">
        <v>989</v>
      </c>
      <c r="J5" s="245">
        <v>0.8</v>
      </c>
      <c r="K5" s="245">
        <f t="shared" si="1"/>
        <v>19.8</v>
      </c>
      <c r="L5" s="245">
        <v>4</v>
      </c>
      <c r="M5" s="245">
        <v>136.25</v>
      </c>
      <c r="N5" s="245">
        <v>35</v>
      </c>
      <c r="O5" s="245">
        <f t="shared" ref="O5:O17" si="7">IFERROR(($X$3*$J5^4*$N5)/(10.8*$M5*$K5*1000),"")</f>
        <v>0.10185277855002631</v>
      </c>
      <c r="P5" s="245">
        <f t="shared" ref="P5:P17" si="8">IFERROR(O5/N5,"")</f>
        <v>2.9100793871436087E-3</v>
      </c>
      <c r="Q5" s="245">
        <f t="shared" si="2"/>
        <v>2026.2966467351064</v>
      </c>
      <c r="R5" s="560" cm="1">
        <f t="array" aca="1" ref="R5" ca="1">_xlfn.XLOOKUP(I5,T_minESABlindWidth[Description],INDIRECT(_xlfn.CONCAT("T_minESABlindWidth[",i_idler,"]")))</f>
        <v>498</v>
      </c>
      <c r="S5" s="245">
        <f t="shared" ca="1" si="3"/>
        <v>0.498</v>
      </c>
      <c r="T5" s="245"/>
      <c r="U5" s="606" t="str">
        <f t="shared" ca="1" si="4"/>
        <v/>
      </c>
      <c r="V5" s="245" t="s">
        <v>887</v>
      </c>
      <c r="W5" s="245"/>
      <c r="X5" s="245"/>
      <c r="Y5" s="245"/>
      <c r="Z5" s="245"/>
      <c r="AA5" s="245"/>
    </row>
    <row r="6" spans="1:27">
      <c r="A6" s="190" t="s">
        <v>888</v>
      </c>
      <c r="D6" s="245">
        <f t="shared" si="5"/>
        <v>1.1910050851620555E-3</v>
      </c>
      <c r="E6" s="245">
        <f t="shared" si="6"/>
        <v>4.0494401654542862E-3</v>
      </c>
      <c r="F6" s="245" t="e">
        <f t="shared" ca="1" si="0"/>
        <v>#DIV/0!</v>
      </c>
      <c r="G6" s="245" t="e">
        <f ca="1">IF(P6&lt;&gt;"",IF(OR(input_idealSpringRate&gt;_SpringData_L0!E6,input_idealSpringRate&lt;_SpringData_L0!$D$4),"n",IF(AND(input_idealSpringRate&lt;_SpringData_L0!E6,input_idealSpringRate&gt;_SpringData_L0!D6*$B$12),"y","n")),"")</f>
        <v>#DIV/0!</v>
      </c>
      <c r="H6" s="245">
        <v>107</v>
      </c>
      <c r="I6" s="245" t="s">
        <v>990</v>
      </c>
      <c r="J6" s="245">
        <v>1</v>
      </c>
      <c r="K6" s="245">
        <f t="shared" si="1"/>
        <v>20</v>
      </c>
      <c r="L6" s="245">
        <v>13</v>
      </c>
      <c r="M6" s="245">
        <v>246</v>
      </c>
      <c r="N6" s="245">
        <v>54</v>
      </c>
      <c r="O6" s="245">
        <f t="shared" si="7"/>
        <v>0.21036585365853658</v>
      </c>
      <c r="P6" s="245">
        <f t="shared" si="8"/>
        <v>3.8956639566395663E-3</v>
      </c>
      <c r="Q6" s="245">
        <f t="shared" si="2"/>
        <v>2142.7689899201519</v>
      </c>
      <c r="R6" s="560" cm="1">
        <f t="array" aca="1" ref="R6" ca="1">_xlfn.XLOOKUP(I6,T_minESABlindWidth[Description],INDIRECT(_xlfn.CONCAT("T_minESABlindWidth[",i_idler,"]")))</f>
        <v>700</v>
      </c>
      <c r="S6" s="245">
        <f t="shared" ca="1" si="3"/>
        <v>0.70000000000000007</v>
      </c>
      <c r="T6" s="245"/>
      <c r="U6" s="606" t="str">
        <f t="shared" ca="1" si="4"/>
        <v/>
      </c>
      <c r="V6" s="245" t="s">
        <v>887</v>
      </c>
      <c r="W6" s="245"/>
      <c r="X6" s="245"/>
      <c r="Y6" s="245"/>
      <c r="Z6" s="245"/>
      <c r="AA6" s="245"/>
    </row>
    <row r="7" spans="1:27">
      <c r="A7" s="245" t="s">
        <v>890</v>
      </c>
      <c r="B7" s="614">
        <f>E4-(E5-D5)*0.6</f>
        <v>1.1510032737375672E-3</v>
      </c>
      <c r="D7" s="245">
        <f t="shared" si="5"/>
        <v>1.4173040579090002E-3</v>
      </c>
      <c r="E7" s="245">
        <f t="shared" si="6"/>
        <v>4.3833542188805343E-3</v>
      </c>
      <c r="F7" s="245" t="e">
        <f t="shared" ca="1" si="0"/>
        <v>#DIV/0!</v>
      </c>
      <c r="G7" s="245" t="e">
        <f ca="1">IF(P7&lt;&gt;"",IF(OR(input_idealSpringRate&gt;_SpringData_L0!E7,input_idealSpringRate&lt;_SpringData_L0!$D$4),"n",IF(AND(input_idealSpringRate&lt;_SpringData_L0!E7,input_idealSpringRate&gt;_SpringData_L0!D7*$B$12),"y","n")),"")</f>
        <v>#DIV/0!</v>
      </c>
      <c r="H7" s="245">
        <v>106</v>
      </c>
      <c r="I7" s="245" t="s">
        <v>990</v>
      </c>
      <c r="J7" s="245">
        <v>1</v>
      </c>
      <c r="K7" s="245">
        <f t="shared" si="1"/>
        <v>20</v>
      </c>
      <c r="L7" s="245">
        <v>12</v>
      </c>
      <c r="M7" s="245">
        <v>228</v>
      </c>
      <c r="N7" s="245">
        <v>51</v>
      </c>
      <c r="O7" s="245">
        <f t="shared" si="7"/>
        <v>0.21436403508771928</v>
      </c>
      <c r="P7" s="245">
        <f t="shared" si="8"/>
        <v>4.2032163742690056E-3</v>
      </c>
      <c r="Q7" s="245">
        <f t="shared" si="2"/>
        <v>2183.4941315414412</v>
      </c>
      <c r="R7" s="560" cm="1">
        <f t="array" aca="1" ref="R7" ca="1">_xlfn.XLOOKUP(I7,T_minESABlindWidth[Description],INDIRECT(_xlfn.CONCAT("T_minESABlindWidth[",i_idler,"]")))</f>
        <v>700</v>
      </c>
      <c r="S7" s="245">
        <f t="shared" ca="1" si="3"/>
        <v>0.70000000000000007</v>
      </c>
      <c r="T7" s="245"/>
      <c r="U7" s="606" t="str">
        <f t="shared" ca="1" si="4"/>
        <v/>
      </c>
      <c r="V7" s="245" t="s">
        <v>887</v>
      </c>
      <c r="W7" s="245"/>
      <c r="X7" s="245"/>
      <c r="Y7" s="245"/>
      <c r="Z7" s="245"/>
      <c r="AA7" s="245"/>
    </row>
    <row r="8" spans="1:27">
      <c r="A8" s="245" t="s">
        <v>891</v>
      </c>
      <c r="B8" s="245">
        <v>8.9999999999999998E-4</v>
      </c>
      <c r="D8" s="245">
        <f t="shared" si="5"/>
        <v>1.5341739766081869E-3</v>
      </c>
      <c r="E8" s="245">
        <f t="shared" si="6"/>
        <v>4.7774057539682535E-3</v>
      </c>
      <c r="F8" s="245" t="e">
        <f t="shared" ca="1" si="0"/>
        <v>#DIV/0!</v>
      </c>
      <c r="G8" s="245" t="e">
        <f ca="1">IF(P8&lt;&gt;"",IF(OR(input_idealSpringRate&gt;_SpringData_L0!E8,input_idealSpringRate&lt;_SpringData_L0!$D$4),"n",IF(AND(input_idealSpringRate&lt;_SpringData_L0!E8,input_idealSpringRate&gt;_SpringData_L0!D8*$B$12),"y","n")),"")</f>
        <v>#DIV/0!</v>
      </c>
      <c r="H8" s="245">
        <v>105</v>
      </c>
      <c r="I8" s="245" t="s">
        <v>990</v>
      </c>
      <c r="J8" s="245">
        <v>1</v>
      </c>
      <c r="K8" s="245">
        <f t="shared" si="1"/>
        <v>20</v>
      </c>
      <c r="L8" s="245">
        <v>11</v>
      </c>
      <c r="M8" s="245">
        <v>210</v>
      </c>
      <c r="N8" s="245">
        <v>47</v>
      </c>
      <c r="O8" s="245">
        <f t="shared" si="7"/>
        <v>0.21448412698412697</v>
      </c>
      <c r="P8" s="245">
        <f t="shared" si="8"/>
        <v>4.5634920634920629E-3</v>
      </c>
      <c r="Q8" s="245">
        <f t="shared" si="2"/>
        <v>2184.7173775535093</v>
      </c>
      <c r="R8" s="560" cm="1">
        <f t="array" aca="1" ref="R8" ca="1">_xlfn.XLOOKUP(I8,T_minESABlindWidth[Description],INDIRECT(_xlfn.CONCAT("T_minESABlindWidth[",i_idler,"]")))</f>
        <v>700</v>
      </c>
      <c r="S8" s="245">
        <f t="shared" ca="1" si="3"/>
        <v>0.70000000000000007</v>
      </c>
      <c r="T8" s="245"/>
      <c r="U8" s="606" t="str">
        <f t="shared" ca="1" si="4"/>
        <v/>
      </c>
      <c r="V8" s="245" t="s">
        <v>887</v>
      </c>
      <c r="W8" s="245"/>
      <c r="X8" s="245"/>
      <c r="Y8" s="245"/>
      <c r="Z8" s="245"/>
      <c r="AA8" s="245"/>
    </row>
    <row r="9" spans="1:27">
      <c r="D9" s="245">
        <f t="shared" si="5"/>
        <v>1.6720920138888885E-3</v>
      </c>
      <c r="E9" s="245">
        <f t="shared" si="6"/>
        <v>5.2494911398467438E-3</v>
      </c>
      <c r="F9" s="245" t="e">
        <f t="shared" ca="1" si="0"/>
        <v>#DIV/0!</v>
      </c>
      <c r="G9" s="245" t="e">
        <f ca="1">IF(P9&lt;&gt;"",IF(OR(input_idealSpringRate&gt;_SpringData_L0!E9,input_idealSpringRate&lt;_SpringData_L0!$D$4),"n",IF(AND(input_idealSpringRate&lt;_SpringData_L0!E9,input_idealSpringRate&gt;_SpringData_L0!D9*$B$12),"y","n")),"")</f>
        <v>#DIV/0!</v>
      </c>
      <c r="H9" s="245">
        <v>104</v>
      </c>
      <c r="I9" s="245" t="s">
        <v>990</v>
      </c>
      <c r="J9" s="245">
        <v>1</v>
      </c>
      <c r="K9" s="245">
        <f t="shared" si="1"/>
        <v>20</v>
      </c>
      <c r="L9" s="245">
        <v>10</v>
      </c>
      <c r="M9" s="245">
        <v>192</v>
      </c>
      <c r="N9" s="245">
        <v>43</v>
      </c>
      <c r="O9" s="245">
        <f t="shared" si="7"/>
        <v>0.21462673611111108</v>
      </c>
      <c r="P9" s="245">
        <f t="shared" si="8"/>
        <v>4.9913194444444441E-3</v>
      </c>
      <c r="Q9" s="245">
        <f t="shared" si="2"/>
        <v>2186.1699821928401</v>
      </c>
      <c r="R9" s="560" cm="1">
        <f t="array" aca="1" ref="R9" ca="1">_xlfn.XLOOKUP(I9,T_minESABlindWidth[Description],INDIRECT(_xlfn.CONCAT("T_minESABlindWidth[",i_idler,"]")))</f>
        <v>700</v>
      </c>
      <c r="S9" s="245">
        <f t="shared" ca="1" si="3"/>
        <v>0.70000000000000007</v>
      </c>
      <c r="T9" s="245"/>
      <c r="U9" s="606" t="str">
        <f t="shared" ca="1" si="4"/>
        <v/>
      </c>
      <c r="V9" s="245" t="s">
        <v>887</v>
      </c>
      <c r="W9" s="245"/>
      <c r="X9" s="245"/>
      <c r="Y9" s="245"/>
      <c r="Z9" s="245"/>
      <c r="AA9" s="245"/>
    </row>
    <row r="10" spans="1:27">
      <c r="A10" s="190" t="s">
        <v>892</v>
      </c>
      <c r="D10" s="245">
        <f t="shared" si="5"/>
        <v>1.8373218989463601E-3</v>
      </c>
      <c r="E10" s="245">
        <f t="shared" si="6"/>
        <v>5.8254126142057178E-3</v>
      </c>
      <c r="F10" s="245" t="e">
        <f t="shared" ca="1" si="0"/>
        <v>#DIV/0!</v>
      </c>
      <c r="G10" s="245" t="e">
        <f ca="1">IF(P10&lt;&gt;"",IF(OR(input_idealSpringRate&gt;_SpringData_L0!E10,input_idealSpringRate&lt;_SpringData_L0!$D$4),"n",IF(AND(input_idealSpringRate&lt;_SpringData_L0!E10,input_idealSpringRate&gt;_SpringData_L0!D10*$B$12),"y","n")),"")</f>
        <v>#DIV/0!</v>
      </c>
      <c r="H10" s="245">
        <v>103</v>
      </c>
      <c r="I10" s="245" t="s">
        <v>990</v>
      </c>
      <c r="J10" s="245">
        <v>1</v>
      </c>
      <c r="K10" s="245">
        <f t="shared" si="1"/>
        <v>20</v>
      </c>
      <c r="L10" s="245">
        <v>9</v>
      </c>
      <c r="M10" s="245">
        <v>174</v>
      </c>
      <c r="N10" s="245">
        <v>39</v>
      </c>
      <c r="O10" s="245">
        <f t="shared" si="7"/>
        <v>0.21479885057471265</v>
      </c>
      <c r="P10" s="245">
        <f t="shared" si="8"/>
        <v>5.5076628352490426E-3</v>
      </c>
      <c r="Q10" s="245">
        <f t="shared" si="2"/>
        <v>2187.9231257230672</v>
      </c>
      <c r="R10" s="560" cm="1">
        <f t="array" aca="1" ref="R10" ca="1">_xlfn.XLOOKUP(I10,T_minESABlindWidth[Description],INDIRECT(_xlfn.CONCAT("T_minESABlindWidth[",i_idler,"]")))</f>
        <v>700</v>
      </c>
      <c r="S10" s="245">
        <f t="shared" ca="1" si="3"/>
        <v>0.70000000000000007</v>
      </c>
      <c r="T10" s="245"/>
      <c r="U10" s="606" t="str">
        <f t="shared" ca="1" si="4"/>
        <v/>
      </c>
      <c r="V10" s="245" t="s">
        <v>887</v>
      </c>
      <c r="W10" s="245"/>
      <c r="X10" s="245"/>
      <c r="Y10" s="245"/>
      <c r="Z10" s="245"/>
      <c r="AA10" s="245"/>
    </row>
    <row r="11" spans="1:27">
      <c r="A11" s="553" t="s">
        <v>893</v>
      </c>
      <c r="B11" s="561">
        <v>0.35</v>
      </c>
      <c r="D11" s="245">
        <f t="shared" si="5"/>
        <v>2.0388944149720011E-3</v>
      </c>
      <c r="E11" s="245">
        <f t="shared" si="6"/>
        <v>6.5438034188034198E-3</v>
      </c>
      <c r="F11" s="245" t="e">
        <f t="shared" ca="1" si="0"/>
        <v>#DIV/0!</v>
      </c>
      <c r="G11" s="245" t="e">
        <f ca="1">IF(P11&lt;&gt;"",IF(OR(input_idealSpringRate&gt;_SpringData_L0!E11,input_idealSpringRate&lt;_SpringData_L0!$D$4),"n",IF(AND(input_idealSpringRate&lt;_SpringData_L0!E11,input_idealSpringRate&gt;_SpringData_L0!D11*$B$12),"y","n")),"")</f>
        <v>#DIV/0!</v>
      </c>
      <c r="H11" s="245">
        <v>102</v>
      </c>
      <c r="I11" s="245" t="s">
        <v>990</v>
      </c>
      <c r="J11" s="245">
        <v>1</v>
      </c>
      <c r="K11" s="245">
        <f t="shared" si="1"/>
        <v>20</v>
      </c>
      <c r="L11" s="245">
        <v>8</v>
      </c>
      <c r="M11" s="245">
        <v>156</v>
      </c>
      <c r="N11" s="245">
        <v>35</v>
      </c>
      <c r="O11" s="245">
        <f t="shared" si="7"/>
        <v>0.21501068376068377</v>
      </c>
      <c r="P11" s="245">
        <f t="shared" si="8"/>
        <v>6.1431623931623939E-3</v>
      </c>
      <c r="Q11" s="245">
        <f t="shared" si="2"/>
        <v>2190.0808408371927</v>
      </c>
      <c r="R11" s="560" cm="1">
        <f t="array" aca="1" ref="R11" ca="1">_xlfn.XLOOKUP(I11,T_minESABlindWidth[Description],INDIRECT(_xlfn.CONCAT("T_minESABlindWidth[",i_idler,"]")))</f>
        <v>700</v>
      </c>
      <c r="S11" s="245">
        <f t="shared" ca="1" si="3"/>
        <v>0.70000000000000007</v>
      </c>
      <c r="T11" s="245"/>
      <c r="U11" s="606" t="str">
        <f t="shared" ca="1" si="4"/>
        <v/>
      </c>
      <c r="V11" s="245" t="s">
        <v>887</v>
      </c>
      <c r="W11" s="245"/>
      <c r="X11" s="245"/>
      <c r="Y11" s="245"/>
      <c r="Z11" s="245"/>
      <c r="AA11" s="245"/>
    </row>
    <row r="12" spans="1:27" ht="29">
      <c r="A12" s="562" t="s">
        <v>894</v>
      </c>
      <c r="B12" s="563">
        <v>1</v>
      </c>
      <c r="D12" s="245">
        <f t="shared" si="5"/>
        <v>2.2903311965811967E-3</v>
      </c>
      <c r="E12" s="245">
        <f t="shared" si="6"/>
        <v>7.465277777777779E-3</v>
      </c>
      <c r="F12" s="245" t="e">
        <f t="shared" ca="1" si="0"/>
        <v>#DIV/0!</v>
      </c>
      <c r="G12" s="245" t="e">
        <f ca="1">IF(P12&lt;&gt;"",IF(OR(input_idealSpringRate&gt;_SpringData_L0!E12,input_idealSpringRate&lt;_SpringData_L0!$D$4),"n",IF(AND(input_idealSpringRate&lt;_SpringData_L0!E12,input_idealSpringRate&gt;_SpringData_L0!D12*$B$12),"y","n")),"")</f>
        <v>#DIV/0!</v>
      </c>
      <c r="H12" s="245">
        <v>101</v>
      </c>
      <c r="I12" s="245" t="s">
        <v>990</v>
      </c>
      <c r="J12" s="245">
        <v>1</v>
      </c>
      <c r="K12" s="245">
        <f t="shared" si="1"/>
        <v>20</v>
      </c>
      <c r="L12" s="245">
        <v>7</v>
      </c>
      <c r="M12" s="245">
        <v>138</v>
      </c>
      <c r="N12" s="245">
        <v>31</v>
      </c>
      <c r="O12" s="245">
        <f t="shared" si="7"/>
        <v>0.21527777777777779</v>
      </c>
      <c r="P12" s="245">
        <f t="shared" si="8"/>
        <v>6.9444444444444449E-3</v>
      </c>
      <c r="Q12" s="245">
        <f t="shared" si="2"/>
        <v>2192.8014381550029</v>
      </c>
      <c r="R12" s="560" cm="1">
        <f t="array" aca="1" ref="R12" ca="1">_xlfn.XLOOKUP(I12,T_minESABlindWidth[Description],INDIRECT(_xlfn.CONCAT("T_minESABlindWidth[",i_idler,"]")))</f>
        <v>700</v>
      </c>
      <c r="S12" s="245">
        <f t="shared" ca="1" si="3"/>
        <v>0.70000000000000007</v>
      </c>
      <c r="T12" s="245"/>
      <c r="U12" s="606" t="str">
        <f t="shared" ca="1" si="4"/>
        <v/>
      </c>
      <c r="V12" s="245" t="s">
        <v>887</v>
      </c>
      <c r="W12" s="245"/>
      <c r="X12" s="245"/>
      <c r="Y12" s="245"/>
      <c r="Z12" s="245"/>
      <c r="AA12" s="245"/>
    </row>
    <row r="13" spans="1:27">
      <c r="D13" s="245">
        <f t="shared" si="5"/>
        <v>2.6128472222222226E-3</v>
      </c>
      <c r="E13" s="245">
        <f t="shared" si="6"/>
        <v>8.1092161255874526E-3</v>
      </c>
      <c r="F13" s="245" t="e">
        <f t="shared" ca="1" si="0"/>
        <v>#DIV/0!</v>
      </c>
      <c r="G13" s="245" t="e">
        <f ca="1">IF(P13&lt;&gt;"",IF(OR(input_idealSpringRate&gt;_SpringData_L0!E13,input_idealSpringRate&lt;_SpringData_L0!$D$4),"n",IF(AND(input_idealSpringRate&lt;_SpringData_L0!E13,input_idealSpringRate&gt;_SpringData_L0!D13*$B$12),"y","n")),"")</f>
        <v>#DIV/0!</v>
      </c>
      <c r="H13" s="245">
        <v>100</v>
      </c>
      <c r="I13" s="245" t="s">
        <v>990</v>
      </c>
      <c r="J13" s="245">
        <v>1</v>
      </c>
      <c r="K13" s="245">
        <f t="shared" si="1"/>
        <v>20</v>
      </c>
      <c r="L13" s="245">
        <v>6</v>
      </c>
      <c r="M13" s="245">
        <v>120</v>
      </c>
      <c r="N13" s="245">
        <v>27</v>
      </c>
      <c r="O13" s="245">
        <f t="shared" si="7"/>
        <v>0.21562500000000001</v>
      </c>
      <c r="P13" s="245">
        <f t="shared" si="8"/>
        <v>7.9861111111111122E-3</v>
      </c>
      <c r="Q13" s="245">
        <f t="shared" si="2"/>
        <v>2196.3382146681556</v>
      </c>
      <c r="R13" s="560" cm="1">
        <f t="array" aca="1" ref="R13" ca="1">_xlfn.XLOOKUP(I13,T_minESABlindWidth[Description],INDIRECT(_xlfn.CONCAT("T_minESABlindWidth[",i_idler,"]")))</f>
        <v>700</v>
      </c>
      <c r="S13" s="245">
        <f t="shared" ca="1" si="3"/>
        <v>0.70000000000000007</v>
      </c>
      <c r="T13" s="245"/>
      <c r="U13" s="606" t="str">
        <f t="shared" ca="1" si="4"/>
        <v/>
      </c>
      <c r="V13" s="245" t="s">
        <v>887</v>
      </c>
      <c r="W13" s="245"/>
      <c r="X13" s="245"/>
      <c r="Y13" s="245"/>
      <c r="Z13" s="245"/>
      <c r="AA13" s="245"/>
    </row>
    <row r="14" spans="1:27">
      <c r="A14" s="190" t="s">
        <v>895</v>
      </c>
      <c r="D14" s="245">
        <f t="shared" si="5"/>
        <v>2.8382256439556082E-3</v>
      </c>
      <c r="E14" s="245">
        <f t="shared" si="6"/>
        <v>8.567574037170466E-3</v>
      </c>
      <c r="F14" s="245" t="e">
        <f t="shared" ca="1" si="0"/>
        <v>#DIV/0!</v>
      </c>
      <c r="G14" s="245" t="e">
        <f ca="1">IF(P14&lt;&gt;"",IF(OR(input_idealSpringRate&gt;_SpringData_L0!E14,input_idealSpringRate&lt;_SpringData_L0!$D$4),"n",IF(AND(input_idealSpringRate&lt;_SpringData_L0!E14,input_idealSpringRate&gt;_SpringData_L0!D14*$B$12),"y","n")),"")</f>
        <v>#DIV/0!</v>
      </c>
      <c r="H14" s="245">
        <v>18</v>
      </c>
      <c r="I14" s="245" t="s">
        <v>886</v>
      </c>
      <c r="J14" s="245">
        <v>1.2</v>
      </c>
      <c r="K14" s="245">
        <f t="shared" si="1"/>
        <v>20.2</v>
      </c>
      <c r="L14" s="245">
        <v>13</v>
      </c>
      <c r="M14" s="245">
        <v>239</v>
      </c>
      <c r="N14" s="245">
        <v>44</v>
      </c>
      <c r="O14" s="245">
        <f t="shared" si="7"/>
        <v>0.36222213016280697</v>
      </c>
      <c r="P14" s="245">
        <f t="shared" si="8"/>
        <v>8.2323211400637947E-3</v>
      </c>
      <c r="Q14" s="245">
        <f t="shared" si="2"/>
        <v>2135.1645375069133</v>
      </c>
      <c r="R14" s="560" cm="1">
        <f t="array" aca="1" ref="R14" ca="1">_xlfn.XLOOKUP(I14,T_minESABlindWidth[Description],INDIRECT(_xlfn.CONCAT("T_minESABlindWidth[",i_idler,"]")))</f>
        <v>700</v>
      </c>
      <c r="S14" s="245">
        <f t="shared" ca="1" si="3"/>
        <v>0.70000000000000007</v>
      </c>
      <c r="T14" s="245">
        <v>1.9131484218958497</v>
      </c>
      <c r="U14" s="606" t="str">
        <f t="shared" ref="U14:U77" ca="1" si="9">IFERROR(ABS((P14-$E$1)/$E$1),"")</f>
        <v/>
      </c>
      <c r="V14" s="245" t="s">
        <v>887</v>
      </c>
      <c r="W14" s="245"/>
      <c r="X14" s="245"/>
      <c r="Y14" s="245"/>
      <c r="Z14" s="245"/>
      <c r="AA14" s="245"/>
    </row>
    <row r="15" spans="1:27">
      <c r="A15" s="245" t="s">
        <v>896</v>
      </c>
      <c r="B15" s="245" t="e" cm="1">
        <f t="array" ref="B15">IF(INDEX(islandFilter_columns,,MATCH(input_BlindWidth,header_chartCol,0))&lt;&gt;"",INDEX(islandFilter_columns,,MATCH(input_BlindWidth,header_chartCol,0)),INDEX(list_boosterIndex,1))</f>
        <v>#NAME?</v>
      </c>
      <c r="D15" s="245">
        <f t="shared" si="5"/>
        <v>2.9986509130096629E-3</v>
      </c>
      <c r="E15" s="245">
        <f t="shared" si="6"/>
        <v>9.1491258854392212E-3</v>
      </c>
      <c r="F15" s="245" t="e">
        <f t="shared" ca="1" si="0"/>
        <v>#DIV/0!</v>
      </c>
      <c r="G15" s="245" t="e">
        <f ca="1">IF(P15&lt;&gt;"",IF(OR(input_idealSpringRate&gt;_SpringData_L0!E15,input_idealSpringRate&lt;_SpringData_L0!$D$4),"n",IF(AND(input_idealSpringRate&lt;_SpringData_L0!E15,input_idealSpringRate&gt;_SpringData_L0!D15*$B$12),"y","n")),"")</f>
        <v>#DIV/0!</v>
      </c>
      <c r="H15" s="245">
        <v>17</v>
      </c>
      <c r="I15" s="245" t="s">
        <v>886</v>
      </c>
      <c r="J15" s="245">
        <v>1.2</v>
      </c>
      <c r="K15" s="245">
        <f t="shared" si="1"/>
        <v>20.2</v>
      </c>
      <c r="L15" s="245">
        <v>12</v>
      </c>
      <c r="M15" s="245">
        <v>221</v>
      </c>
      <c r="N15" s="245">
        <v>43</v>
      </c>
      <c r="O15" s="245">
        <f t="shared" si="7"/>
        <v>0.38282155817391689</v>
      </c>
      <c r="P15" s="245">
        <f t="shared" si="8"/>
        <v>8.9028269342771374E-3</v>
      </c>
      <c r="Q15" s="245">
        <f t="shared" si="2"/>
        <v>2256.5904927970537</v>
      </c>
      <c r="R15" s="560" cm="1">
        <f t="array" aca="1" ref="R15" ca="1">_xlfn.XLOOKUP(I15,T_minESABlindWidth[Description],INDIRECT(_xlfn.CONCAT("T_minESABlindWidth[",i_idler,"]")))</f>
        <v>700</v>
      </c>
      <c r="S15" s="245">
        <f t="shared" ca="1" si="3"/>
        <v>0.70000000000000007</v>
      </c>
      <c r="T15" s="245">
        <v>2.0219484092784503</v>
      </c>
      <c r="U15" s="606" t="str">
        <f t="shared" ca="1" si="9"/>
        <v/>
      </c>
      <c r="V15" s="245" t="s">
        <v>887</v>
      </c>
      <c r="W15" s="245"/>
      <c r="X15" s="245"/>
      <c r="Y15" s="245"/>
      <c r="Z15" s="245"/>
      <c r="AA15" s="245"/>
    </row>
    <row r="16" spans="1:27">
      <c r="A16" s="245" t="s">
        <v>898</v>
      </c>
      <c r="B16" s="245" t="e" cm="1">
        <f t="array" ref="B16">IF(INDEX(islandFilter_rows,MATCH(input_BlindDrop,header_chartRow,0))&lt;&gt;"",INDEX(islandFilter_rows,MATCH(input_BlindDrop,header_chartRow,0),),INDEX(list_boosterIndex,1))</f>
        <v>#NAME?</v>
      </c>
      <c r="D16" s="245">
        <f t="shared" si="5"/>
        <v>3.2021940599037272E-3</v>
      </c>
      <c r="E16" s="245">
        <f t="shared" si="6"/>
        <v>9.5200770077007689E-3</v>
      </c>
      <c r="F16" s="245" t="e">
        <f t="shared" ca="1" si="0"/>
        <v>#DIV/0!</v>
      </c>
      <c r="G16" s="245" t="e">
        <f ca="1">IF(P16&lt;&gt;"",IF(OR(input_idealSpringRate&gt;_SpringData_L0!E16,input_idealSpringRate&lt;_SpringData_L0!$D$4),"n",IF(AND(input_idealSpringRate&lt;_SpringData_L0!E16,input_idealSpringRate&gt;_SpringData_L0!D16*$B$12),"y","n")),"")</f>
        <v>#DIV/0!</v>
      </c>
      <c r="H16" s="245">
        <v>5</v>
      </c>
      <c r="I16" s="245" t="s">
        <v>889</v>
      </c>
      <c r="J16" s="245">
        <v>1</v>
      </c>
      <c r="K16" s="245">
        <f t="shared" si="1"/>
        <v>20</v>
      </c>
      <c r="L16" s="245">
        <v>5</v>
      </c>
      <c r="M16" s="245">
        <v>102</v>
      </c>
      <c r="N16" s="245">
        <v>24</v>
      </c>
      <c r="O16" s="245">
        <f t="shared" si="7"/>
        <v>0.22549019607843132</v>
      </c>
      <c r="P16" s="245">
        <f t="shared" si="8"/>
        <v>9.395424836601305E-3</v>
      </c>
      <c r="Q16" s="245">
        <f t="shared" si="2"/>
        <v>2296.8242767771558</v>
      </c>
      <c r="R16" s="560" cm="1">
        <f t="array" aca="1" ref="R16" ca="1">_xlfn.XLOOKUP(I16,T_minESABlindWidth[Description],INDIRECT(_xlfn.CONCAT("T_minESABlindWidth[",i_idler,"]")))</f>
        <v>498</v>
      </c>
      <c r="S16" s="245">
        <f t="shared" ca="1" si="3"/>
        <v>0.498</v>
      </c>
      <c r="T16" s="245">
        <v>1.1909714422653805</v>
      </c>
      <c r="U16" s="606" t="str">
        <f t="shared" ca="1" si="9"/>
        <v/>
      </c>
      <c r="V16" s="245" t="s">
        <v>887</v>
      </c>
      <c r="W16" s="245"/>
      <c r="X16" s="245"/>
      <c r="Y16" s="245"/>
      <c r="Z16" s="245"/>
      <c r="AA16" s="245"/>
    </row>
    <row r="17" spans="1:27">
      <c r="D17" s="245">
        <f t="shared" si="5"/>
        <v>3.3320269526952691E-3</v>
      </c>
      <c r="E17" s="245">
        <f t="shared" si="6"/>
        <v>1.0111409622935726E-2</v>
      </c>
      <c r="F17" s="245" t="e">
        <f t="shared" ca="1" si="0"/>
        <v>#DIV/0!</v>
      </c>
      <c r="G17" s="245" t="e">
        <f ca="1">IF(P17&lt;&gt;"",IF(OR(input_idealSpringRate&gt;_SpringData_L0!E17,input_idealSpringRate&lt;_SpringData_L0!$D$4),"n",IF(AND(input_idealSpringRate&lt;_SpringData_L0!E17,input_idealSpringRate&gt;_SpringData_L0!D17*$B$12),"y","n")),"")</f>
        <v>#DIV/0!</v>
      </c>
      <c r="H17" s="245">
        <v>16</v>
      </c>
      <c r="I17" s="245" t="s">
        <v>886</v>
      </c>
      <c r="J17" s="245">
        <v>1.2</v>
      </c>
      <c r="K17" s="245">
        <f t="shared" si="1"/>
        <v>20.2</v>
      </c>
      <c r="L17" s="245">
        <v>11</v>
      </c>
      <c r="M17" s="245">
        <v>204</v>
      </c>
      <c r="N17" s="245">
        <v>41</v>
      </c>
      <c r="O17" s="245">
        <f t="shared" si="7"/>
        <v>0.39543389633080944</v>
      </c>
      <c r="P17" s="245">
        <f t="shared" si="8"/>
        <v>9.644729178800231E-3</v>
      </c>
      <c r="Q17" s="245">
        <f t="shared" si="2"/>
        <v>2330.9355284124599</v>
      </c>
      <c r="R17" s="560" cm="1">
        <f t="array" aca="1" ref="R17" ca="1">_xlfn.XLOOKUP(I17,T_minESABlindWidth[Description],INDIRECT(_xlfn.CONCAT("T_minESABlindWidth[",i_idler,"]")))</f>
        <v>700</v>
      </c>
      <c r="S17" s="245">
        <f t="shared" ca="1" si="3"/>
        <v>0.70000000000000007</v>
      </c>
      <c r="T17" s="245">
        <v>2.0885629886539028</v>
      </c>
      <c r="U17" s="606" t="str">
        <f t="shared" ca="1" si="9"/>
        <v/>
      </c>
      <c r="V17" s="245" t="s">
        <v>887</v>
      </c>
      <c r="W17" s="245"/>
      <c r="X17" s="245"/>
      <c r="Y17" s="245"/>
      <c r="Z17" s="245"/>
      <c r="AA17" s="245"/>
    </row>
    <row r="18" spans="1:27">
      <c r="D18" s="245">
        <f t="shared" si="5"/>
        <v>3.5389933680275037E-3</v>
      </c>
      <c r="E18" s="245">
        <f t="shared" si="6"/>
        <v>1.0993410112900691E-2</v>
      </c>
      <c r="F18" s="245" t="e">
        <f t="shared" ca="1" si="0"/>
        <v>#DIV/0!</v>
      </c>
      <c r="G18" s="245" t="e">
        <f ca="1">IF(P18&lt;&gt;"",IF(OR(input_idealSpringRate&gt;_SpringData_L0!E18,input_idealSpringRate&lt;_SpringData_L0!$D$4),"n",IF(AND(input_idealSpringRate&lt;_SpringData_L0!E18,input_idealSpringRate&gt;_SpringData_L0!D18*$B$12),"y","n")),"")</f>
        <v>#DIV/0!</v>
      </c>
      <c r="H18" s="245">
        <v>15</v>
      </c>
      <c r="I18" s="245" t="s">
        <v>886</v>
      </c>
      <c r="J18" s="245">
        <v>1.2</v>
      </c>
      <c r="K18" s="245">
        <f t="shared" ref="K18:K78" si="10">J18+$AA$3</f>
        <v>20.2</v>
      </c>
      <c r="L18" s="245">
        <v>10</v>
      </c>
      <c r="M18" s="245">
        <v>186</v>
      </c>
      <c r="N18" s="245">
        <v>37</v>
      </c>
      <c r="O18" s="245">
        <f t="shared" ref="O18:O78" si="11">IFERROR(($X$3*$J18^4*$N18)/(10.8*$M18*$K18*1000),"")</f>
        <v>0.39138933248163521</v>
      </c>
      <c r="P18" s="245">
        <f t="shared" ref="P18:P78" si="12">IFERROR(O18/N18,"")</f>
        <v>1.0578090067071222E-2</v>
      </c>
      <c r="Q18" s="245">
        <f t="shared" ref="Q18:Q78" si="13">32000*$O18/(PI()*$J18^3)</f>
        <v>2307.0943310329467</v>
      </c>
      <c r="R18" s="560" cm="1">
        <f t="array" aca="1" ref="R18" ca="1">_xlfn.XLOOKUP(I18,T_minESABlindWidth[Description],INDIRECT(_xlfn.CONCAT("T_minESABlindWidth[",i_idler,"]")))</f>
        <v>700</v>
      </c>
      <c r="S18" s="245">
        <f t="shared" ref="S18:S78" ca="1" si="14">R18*0.001</f>
        <v>0.70000000000000007</v>
      </c>
      <c r="T18" s="245">
        <v>2.0672008180382457</v>
      </c>
      <c r="U18" s="606" t="str">
        <f t="shared" ca="1" si="9"/>
        <v/>
      </c>
      <c r="V18" s="245" t="s">
        <v>887</v>
      </c>
      <c r="W18" s="245"/>
      <c r="X18" s="245"/>
      <c r="Y18" s="245"/>
      <c r="Z18" s="245"/>
      <c r="AA18" s="245"/>
    </row>
    <row r="19" spans="1:27">
      <c r="A19" s="244" t="s">
        <v>899</v>
      </c>
      <c r="D19" s="245">
        <f t="shared" si="5"/>
        <v>3.8476935395152416E-3</v>
      </c>
      <c r="E19" s="245">
        <f t="shared" si="6"/>
        <v>1.1525444228700131E-2</v>
      </c>
      <c r="F19" s="245" t="e">
        <f t="shared" ref="F19:F24" ca="1" si="15">IF(G19&lt;&gt;"",IF(islandFilter_option="yes",IF(AND(MATCH(I19,list_boosterDescription,0)&gt;=MATCH(islandfilter_colMax,list_boosterIndex,0),MATCH(I19,list_boosterDescription,0)&gt;=MATCH(islandfilter_rowMax,list_boosterIndex,0)),"y",""),"y"),"")</f>
        <v>#DIV/0!</v>
      </c>
      <c r="G19" s="245" t="e">
        <f ca="1">IF(P19&lt;&gt;"",IF(OR(input_idealSpringRate&gt;_SpringData_L0!E19,input_idealSpringRate&lt;_SpringData_L0!$D$4),"n",IF(AND(input_idealSpringRate&lt;_SpringData_L0!E19,input_idealSpringRate&gt;_SpringData_L0!D19*$B$12),"y","n")),"")</f>
        <v>#DIV/0!</v>
      </c>
      <c r="H19" s="245">
        <v>4</v>
      </c>
      <c r="I19" s="245" t="s">
        <v>889</v>
      </c>
      <c r="J19" s="245">
        <v>1</v>
      </c>
      <c r="K19" s="245">
        <f t="shared" si="10"/>
        <v>20</v>
      </c>
      <c r="L19" s="245">
        <v>4</v>
      </c>
      <c r="M19" s="245">
        <v>84</v>
      </c>
      <c r="N19" s="245">
        <v>21</v>
      </c>
      <c r="O19" s="245">
        <f t="shared" si="11"/>
        <v>0.23958333333333334</v>
      </c>
      <c r="P19" s="245">
        <f t="shared" si="12"/>
        <v>1.140873015873016E-2</v>
      </c>
      <c r="Q19" s="245">
        <f t="shared" si="13"/>
        <v>2440.3757940757287</v>
      </c>
      <c r="R19" s="560" cm="1">
        <f t="array" aca="1" ref="R19" ca="1">_xlfn.XLOOKUP(I19,T_minESABlindWidth[Description],INDIRECT(_xlfn.CONCAT("T_minESABlindWidth[",i_idler,"]")))</f>
        <v>498</v>
      </c>
      <c r="S19" s="245">
        <f t="shared" ca="1" si="14"/>
        <v>0.498</v>
      </c>
      <c r="T19" s="245">
        <v>1.2654071574069672</v>
      </c>
      <c r="U19" s="606" t="str">
        <f t="shared" ca="1" si="9"/>
        <v/>
      </c>
      <c r="V19" s="245" t="s">
        <v>887</v>
      </c>
      <c r="W19" s="245"/>
      <c r="X19" s="245"/>
      <c r="Y19" s="245"/>
      <c r="Z19" s="245"/>
      <c r="AA19" s="245"/>
    </row>
    <row r="20" spans="1:27">
      <c r="A20" s="245" t="s">
        <v>121</v>
      </c>
      <c r="D20" s="245">
        <f t="shared" si="5"/>
        <v>4.0339054800450453E-3</v>
      </c>
      <c r="E20" s="245">
        <f t="shared" si="6"/>
        <v>1.2336061773425274E-2</v>
      </c>
      <c r="F20" s="245" t="e">
        <f t="shared" ca="1" si="15"/>
        <v>#DIV/0!</v>
      </c>
      <c r="G20" s="245" t="e">
        <f ca="1">IF(P20&lt;&gt;"",IF(OR(input_idealSpringRate&gt;_SpringData_L0!E20,input_idealSpringRate&lt;_SpringData_L0!$D$4),"n",IF(AND(input_idealSpringRate&lt;_SpringData_L0!E20,input_idealSpringRate&gt;_SpringData_L0!D20*$B$12),"y","n")),"")</f>
        <v>#DIV/0!</v>
      </c>
      <c r="H20" s="245">
        <v>14</v>
      </c>
      <c r="I20" s="245" t="s">
        <v>886</v>
      </c>
      <c r="J20" s="245">
        <v>1.2</v>
      </c>
      <c r="K20" s="245">
        <f t="shared" si="10"/>
        <v>20.2</v>
      </c>
      <c r="L20" s="245">
        <v>9</v>
      </c>
      <c r="M20" s="245">
        <v>169</v>
      </c>
      <c r="N20" s="245">
        <v>34</v>
      </c>
      <c r="O20" s="245">
        <f t="shared" si="11"/>
        <v>0.39583338215478348</v>
      </c>
      <c r="P20" s="245">
        <f t="shared" si="12"/>
        <v>1.1642158298670102E-2</v>
      </c>
      <c r="Q20" s="245">
        <f t="shared" si="13"/>
        <v>2333.2903485450752</v>
      </c>
      <c r="R20" s="560" cm="1">
        <f t="array" aca="1" ref="R20" ca="1">_xlfn.XLOOKUP(I20,T_minESABlindWidth[Description],INDIRECT(_xlfn.CONCAT("T_minESABlindWidth[",i_idler,"]")))</f>
        <v>700</v>
      </c>
      <c r="S20" s="245">
        <f t="shared" ca="1" si="14"/>
        <v>0.70000000000000007</v>
      </c>
      <c r="T20" s="245">
        <v>2.0906729527065191</v>
      </c>
      <c r="U20" s="606" t="str">
        <f t="shared" ca="1" si="9"/>
        <v/>
      </c>
      <c r="V20" s="245" t="s">
        <v>887</v>
      </c>
      <c r="W20" s="245"/>
      <c r="X20" s="245"/>
      <c r="Y20" s="245"/>
      <c r="Z20" s="245"/>
      <c r="AA20" s="245"/>
    </row>
    <row r="21" spans="1:27">
      <c r="A21" s="245" t="s">
        <v>122</v>
      </c>
      <c r="D21" s="245">
        <f t="shared" si="5"/>
        <v>4.3176216206988454E-3</v>
      </c>
      <c r="E21" s="245">
        <f t="shared" si="6"/>
        <v>1.3775083634191231E-2</v>
      </c>
      <c r="F21" s="245" t="e">
        <f t="shared" ca="1" si="15"/>
        <v>#DIV/0!</v>
      </c>
      <c r="G21" s="245" t="e">
        <f ca="1">IF(P21&lt;&gt;"",IF(OR(input_idealSpringRate&gt;_SpringData_L0!E21,input_idealSpringRate&lt;_SpringData_L0!$D$4),"n",IF(AND(input_idealSpringRate&lt;_SpringData_L0!E21,input_idealSpringRate&gt;_SpringData_L0!D21*$B$12),"y","n")),"")</f>
        <v>#DIV/0!</v>
      </c>
      <c r="H21" s="245">
        <v>13</v>
      </c>
      <c r="I21" s="245" t="s">
        <v>886</v>
      </c>
      <c r="J21" s="245">
        <v>1.2</v>
      </c>
      <c r="K21" s="245">
        <f t="shared" si="10"/>
        <v>20.2</v>
      </c>
      <c r="L21" s="245">
        <v>8</v>
      </c>
      <c r="M21" s="245">
        <v>151</v>
      </c>
      <c r="N21" s="245">
        <v>30</v>
      </c>
      <c r="O21" s="245">
        <f t="shared" si="11"/>
        <v>0.39089895744541331</v>
      </c>
      <c r="P21" s="245">
        <f t="shared" si="12"/>
        <v>1.3029965248180444E-2</v>
      </c>
      <c r="Q21" s="245">
        <f t="shared" si="13"/>
        <v>2304.2037528483697</v>
      </c>
      <c r="R21" s="560" cm="1">
        <f t="array" aca="1" ref="R21" ca="1">_xlfn.XLOOKUP(I21,T_minESABlindWidth[Description],INDIRECT(_xlfn.CONCAT("T_minESABlindWidth[",i_idler,"]")))</f>
        <v>700</v>
      </c>
      <c r="S21" s="245">
        <f t="shared" ca="1" si="14"/>
        <v>0.70000000000000007</v>
      </c>
      <c r="T21" s="245">
        <v>2.0646108044842326</v>
      </c>
      <c r="U21" s="606" t="str">
        <f t="shared" ca="1" si="9"/>
        <v/>
      </c>
      <c r="V21" s="245" t="s">
        <v>887</v>
      </c>
      <c r="W21" s="245"/>
      <c r="X21" s="245"/>
      <c r="Y21" s="245"/>
      <c r="Z21" s="245"/>
      <c r="AA21" s="245"/>
    </row>
    <row r="22" spans="1:27">
      <c r="D22" s="245">
        <f t="shared" si="5"/>
        <v>4.8212792719669302E-3</v>
      </c>
      <c r="E22" s="245">
        <f t="shared" si="6"/>
        <v>1.4656810605872615E-2</v>
      </c>
      <c r="F22" s="245" t="e">
        <f t="shared" ca="1" si="15"/>
        <v>#DIV/0!</v>
      </c>
      <c r="G22" s="245" t="e">
        <f ca="1">IF(P22&lt;&gt;"",IF(OR(input_idealSpringRate&gt;_SpringData_L0!E22,input_idealSpringRate&lt;_SpringData_L0!$D$4),"n",IF(AND(input_idealSpringRate&lt;_SpringData_L0!E22,input_idealSpringRate&gt;_SpringData_L0!D22*$B$12),"y","n")),"")</f>
        <v>#DIV/0!</v>
      </c>
      <c r="H22" s="245">
        <v>3</v>
      </c>
      <c r="I22" s="245" t="s">
        <v>889</v>
      </c>
      <c r="J22" s="245">
        <v>1</v>
      </c>
      <c r="K22" s="245">
        <f t="shared" si="10"/>
        <v>20</v>
      </c>
      <c r="L22" s="245">
        <v>3</v>
      </c>
      <c r="M22" s="245">
        <v>66</v>
      </c>
      <c r="N22" s="245">
        <v>17</v>
      </c>
      <c r="O22" s="245">
        <f t="shared" si="11"/>
        <v>0.24684343434343431</v>
      </c>
      <c r="P22" s="245">
        <f t="shared" si="12"/>
        <v>1.4520202020202018E-2</v>
      </c>
      <c r="Q22" s="245">
        <f t="shared" si="13"/>
        <v>2514.3265757143868</v>
      </c>
      <c r="R22" s="560" cm="1">
        <f t="array" aca="1" ref="R22" ca="1">_xlfn.XLOOKUP(I22,T_minESABlindWidth[Description],INDIRECT(_xlfn.CONCAT("T_minESABlindWidth[",i_idler,"]")))</f>
        <v>498</v>
      </c>
      <c r="S22" s="245">
        <f t="shared" ca="1" si="14"/>
        <v>0.498</v>
      </c>
      <c r="T22" s="245">
        <v>1.3037528288435418</v>
      </c>
      <c r="U22" s="606" t="str">
        <f t="shared" ca="1" si="9"/>
        <v/>
      </c>
      <c r="V22" s="245" t="s">
        <v>887</v>
      </c>
      <c r="W22" s="245"/>
      <c r="X22" s="245"/>
      <c r="Y22" s="245"/>
      <c r="Z22" s="245"/>
      <c r="AA22" s="245"/>
    </row>
    <row r="23" spans="1:27">
      <c r="D23" s="245">
        <f t="shared" si="5"/>
        <v>5.1298837120554146E-3</v>
      </c>
      <c r="E23" s="245">
        <f t="shared" si="6"/>
        <v>1.587741973575112E-2</v>
      </c>
      <c r="F23" s="245" t="e">
        <f t="shared" ca="1" si="15"/>
        <v>#DIV/0!</v>
      </c>
      <c r="G23" s="245" t="e">
        <f ca="1">IF(P23&lt;&gt;"",IF(OR(input_idealSpringRate&gt;_SpringData_L0!E23,input_idealSpringRate&lt;_SpringData_L0!$D$4),"n",IF(AND(input_idealSpringRate&lt;_SpringData_L0!E23,input_idealSpringRate&gt;_SpringData_L0!D23*$B$12),"y","n")),"")</f>
        <v>#DIV/0!</v>
      </c>
      <c r="H23" s="245">
        <v>12</v>
      </c>
      <c r="I23" s="245" t="s">
        <v>886</v>
      </c>
      <c r="J23" s="245">
        <v>1.2</v>
      </c>
      <c r="K23" s="245">
        <f t="shared" si="10"/>
        <v>20.2</v>
      </c>
      <c r="L23" s="245">
        <v>7</v>
      </c>
      <c r="M23" s="245">
        <v>133</v>
      </c>
      <c r="N23" s="245">
        <v>26</v>
      </c>
      <c r="O23" s="245">
        <f t="shared" si="11"/>
        <v>0.38462889898012348</v>
      </c>
      <c r="P23" s="245">
        <f t="shared" si="12"/>
        <v>1.479341919154321E-2</v>
      </c>
      <c r="Q23" s="245">
        <f t="shared" si="13"/>
        <v>2267.2440936548119</v>
      </c>
      <c r="R23" s="560" cm="1">
        <f t="array" aca="1" ref="R23" ca="1">_xlfn.XLOOKUP(I23,T_minESABlindWidth[Description],INDIRECT(_xlfn.CONCAT("T_minESABlindWidth[",i_idler,"]")))</f>
        <v>700</v>
      </c>
      <c r="S23" s="245">
        <f t="shared" ca="1" si="14"/>
        <v>0.70000000000000007</v>
      </c>
      <c r="T23" s="245">
        <v>2.0314942402017793</v>
      </c>
      <c r="U23" s="606" t="str">
        <f t="shared" ca="1" si="9"/>
        <v/>
      </c>
      <c r="V23" s="245" t="s">
        <v>887</v>
      </c>
      <c r="W23" s="245"/>
      <c r="X23" s="245"/>
      <c r="Y23" s="245"/>
      <c r="Z23" s="245"/>
      <c r="AA23" s="245"/>
    </row>
    <row r="24" spans="1:27">
      <c r="A24" s="244" t="s">
        <v>900</v>
      </c>
      <c r="D24" s="245">
        <f t="shared" si="5"/>
        <v>5.5570969075128913E-3</v>
      </c>
      <c r="E24" s="245">
        <f t="shared" si="6"/>
        <v>1.7093146832060771E-2</v>
      </c>
      <c r="F24" s="245" t="e">
        <f t="shared" ca="1" si="15"/>
        <v>#DIV/0!</v>
      </c>
      <c r="G24" s="245" t="e">
        <f ca="1">IF(P24&lt;&gt;"",IF(OR(input_idealSpringRate&gt;_SpringData_L0!E24,input_idealSpringRate&lt;_SpringData_L0!$D$4),"n",IF(AND(input_idealSpringRate&lt;_SpringData_L0!E24,input_idealSpringRate&gt;_SpringData_L0!D24*$B$12),"y","n")),"")</f>
        <v>#DIV/0!</v>
      </c>
      <c r="H24" s="245">
        <v>11</v>
      </c>
      <c r="I24" s="245" t="s">
        <v>886</v>
      </c>
      <c r="J24" s="245">
        <v>1.2</v>
      </c>
      <c r="K24" s="245">
        <f t="shared" si="10"/>
        <v>20.2</v>
      </c>
      <c r="L24" s="245">
        <v>6</v>
      </c>
      <c r="M24" s="245">
        <v>116</v>
      </c>
      <c r="N24" s="245">
        <v>21</v>
      </c>
      <c r="O24" s="245">
        <f t="shared" si="11"/>
        <v>0.35618982587913961</v>
      </c>
      <c r="P24" s="245">
        <f t="shared" si="12"/>
        <v>1.696142027995903E-2</v>
      </c>
      <c r="Q24" s="245">
        <f t="shared" si="13"/>
        <v>2099.6063506557994</v>
      </c>
      <c r="R24" s="560" cm="1">
        <f t="array" aca="1" ref="R24" ca="1">_xlfn.XLOOKUP(I24,T_minESABlindWidth[Description],INDIRECT(_xlfn.CONCAT("T_minESABlindWidth[",i_idler,"]")))</f>
        <v>700</v>
      </c>
      <c r="S24" s="245">
        <f t="shared" ca="1" si="14"/>
        <v>0.70000000000000007</v>
      </c>
      <c r="T24" s="245">
        <v>1.8812876037412369</v>
      </c>
      <c r="U24" s="606" t="str">
        <f t="shared" ca="1" si="9"/>
        <v/>
      </c>
      <c r="V24" s="245" t="s">
        <v>887</v>
      </c>
      <c r="W24" s="245"/>
      <c r="X24" s="245"/>
      <c r="Y24" s="245"/>
      <c r="Z24" s="245"/>
      <c r="AA24" s="245"/>
    </row>
    <row r="25" spans="1:27">
      <c r="A25" s="245" t="s">
        <v>901</v>
      </c>
      <c r="D25" s="245">
        <f t="shared" ref="D25:D78" si="16">IF(LEN(E24)&gt;0,E24*$B$11,"")</f>
        <v>5.9826013912212695E-3</v>
      </c>
      <c r="E25" s="245">
        <f t="shared" ref="E25:E77" si="17">IF(P25&lt;&gt;"",IF(AND(P25&lt;&gt;"",P25=""),P26*2,AVERAGE(P25:P26)),"")</f>
        <v>1.7579503130307032E-2</v>
      </c>
      <c r="F25" s="245" t="e">
        <f t="shared" ref="F25" ca="1" si="18">IF(G25&lt;&gt;"",IF(islandFilter_option="yes",IF(AND(MATCH(I25,list_boosterDescription,0)&gt;=MATCH(islandfilter_colMax,list_boosterIndex,0),MATCH(I25,list_boosterDescription,0)&gt;=MATCH(islandfilter_rowMax,list_boosterIndex,0)),"y",""),"y"),"")</f>
        <v>#DIV/0!</v>
      </c>
      <c r="G25" s="245" t="e">
        <f ca="1">IF(P25&lt;&gt;"",IF(OR(input_idealSpringRate&gt;_SpringData_L0!E25,input_idealSpringRate&lt;_SpringData_L0!$D$4),"n",IF(AND(input_idealSpringRate&lt;_SpringData_L0!E25,input_idealSpringRate&gt;_SpringData_L0!D25*$B$12),"y","n")),"")</f>
        <v>#DIV/0!</v>
      </c>
      <c r="H25" s="245">
        <v>43</v>
      </c>
      <c r="I25" s="245" t="s">
        <v>897</v>
      </c>
      <c r="J25" s="245">
        <v>1.6</v>
      </c>
      <c r="K25" s="245">
        <f t="shared" si="10"/>
        <v>20.6</v>
      </c>
      <c r="L25" s="245">
        <v>25</v>
      </c>
      <c r="M25" s="245">
        <v>354</v>
      </c>
      <c r="N25" s="245">
        <v>45</v>
      </c>
      <c r="O25" s="245">
        <f t="shared" si="11"/>
        <v>0.77511930228731307</v>
      </c>
      <c r="P25" s="245">
        <f t="shared" si="12"/>
        <v>1.7224873384162512E-2</v>
      </c>
      <c r="Q25" s="245">
        <f t="shared" si="13"/>
        <v>1927.5635694526079</v>
      </c>
      <c r="R25" s="560" cm="1">
        <f t="array" aca="1" ref="R25" ca="1">_xlfn.XLOOKUP(I25,T_minESABlindWidth[Description],INDIRECT(_xlfn.CONCAT("T_minESABlindWidth[",i_idler,"]")))</f>
        <v>1010</v>
      </c>
      <c r="S25" s="245">
        <f t="shared" ca="1" si="14"/>
        <v>1.01</v>
      </c>
      <c r="T25" s="245">
        <v>4.0939471845231044</v>
      </c>
      <c r="U25" s="606" t="str">
        <f t="shared" ca="1" si="9"/>
        <v/>
      </c>
      <c r="V25" s="245" t="s">
        <v>887</v>
      </c>
      <c r="W25" s="245"/>
      <c r="X25" s="245"/>
      <c r="Y25" s="245"/>
      <c r="Z25" s="245"/>
      <c r="AA25" s="245"/>
    </row>
    <row r="26" spans="1:27">
      <c r="A26" s="245" t="s">
        <v>903</v>
      </c>
      <c r="D26" s="245">
        <f t="shared" si="16"/>
        <v>6.1528260956074613E-3</v>
      </c>
      <c r="E26" s="245">
        <f t="shared" si="17"/>
        <v>1.831922161919745E-2</v>
      </c>
      <c r="F26" s="245" t="e">
        <f t="shared" ref="F26:F45" ca="1" si="19">IF(G26&lt;&gt;"",IF(islandFilter_option="yes",IF(AND(MATCH(I26,list_boosterDescription,0)&gt;=MATCH(islandfilter_colMax,list_boosterIndex,0),MATCH(I26,list_boosterDescription,0)&gt;=MATCH(islandfilter_rowMax,list_boosterIndex,0)),"y",""),"y"),"")</f>
        <v>#DIV/0!</v>
      </c>
      <c r="G26" s="245" t="e">
        <f ca="1">IF(P26&lt;&gt;"",IF(OR(input_idealSpringRate&gt;_SpringData_L0!E26,input_idealSpringRate&lt;_SpringData_L0!$D$4),"n",IF(AND(input_idealSpringRate&lt;_SpringData_L0!E26,input_idealSpringRate&gt;_SpringData_L0!D26*$B$12),"y","n")),"")</f>
        <v>#DIV/0!</v>
      </c>
      <c r="H26" s="245">
        <v>42</v>
      </c>
      <c r="I26" s="245" t="s">
        <v>897</v>
      </c>
      <c r="J26" s="245">
        <v>1.6</v>
      </c>
      <c r="K26" s="245">
        <f t="shared" si="10"/>
        <v>20.6</v>
      </c>
      <c r="L26" s="245">
        <v>24</v>
      </c>
      <c r="M26" s="245">
        <v>340</v>
      </c>
      <c r="N26" s="245">
        <v>42</v>
      </c>
      <c r="O26" s="245">
        <f t="shared" si="11"/>
        <v>0.75323358081096536</v>
      </c>
      <c r="P26" s="245">
        <f t="shared" si="12"/>
        <v>1.7934132876451556E-2</v>
      </c>
      <c r="Q26" s="245">
        <f t="shared" si="13"/>
        <v>1873.1382451386519</v>
      </c>
      <c r="R26" s="560" cm="1">
        <f t="array" aca="1" ref="R26" ca="1">_xlfn.XLOOKUP(I26,T_minESABlindWidth[Description],INDIRECT(_xlfn.CONCAT("T_minESABlindWidth[",i_idler,"]")))</f>
        <v>1010</v>
      </c>
      <c r="S26" s="245">
        <f t="shared" ca="1" si="14"/>
        <v>1.01</v>
      </c>
      <c r="T26" s="245">
        <v>3.9783533816659817</v>
      </c>
      <c r="U26" s="606" t="str">
        <f t="shared" ca="1" si="9"/>
        <v/>
      </c>
      <c r="V26" s="245" t="s">
        <v>887</v>
      </c>
      <c r="W26" s="245"/>
      <c r="X26" s="245"/>
      <c r="Y26" s="245"/>
      <c r="Z26" s="245"/>
      <c r="AA26" s="245"/>
    </row>
    <row r="27" spans="1:27">
      <c r="D27" s="245">
        <f t="shared" si="16"/>
        <v>6.4117275667191073E-3</v>
      </c>
      <c r="E27" s="245">
        <f t="shared" si="17"/>
        <v>1.9092738532399036E-2</v>
      </c>
      <c r="F27" s="245" t="e">
        <f t="shared" ca="1" si="19"/>
        <v>#DIV/0!</v>
      </c>
      <c r="G27" s="245" t="e">
        <f ca="1">IF(P27&lt;&gt;"",IF(OR(input_idealSpringRate&gt;_SpringData_L0!E27,input_idealSpringRate&lt;_SpringData_L0!$D$4),"n",IF(AND(input_idealSpringRate&lt;_SpringData_L0!E27,input_idealSpringRate&gt;_SpringData_L0!D27*$B$12),"y","n")),"")</f>
        <v>#DIV/0!</v>
      </c>
      <c r="H27" s="245">
        <v>41</v>
      </c>
      <c r="I27" s="245" t="s">
        <v>897</v>
      </c>
      <c r="J27" s="245">
        <v>1.6</v>
      </c>
      <c r="K27" s="245">
        <f t="shared" si="10"/>
        <v>20.6</v>
      </c>
      <c r="L27" s="245">
        <v>23</v>
      </c>
      <c r="M27" s="245">
        <v>326</v>
      </c>
      <c r="N27" s="245">
        <v>40</v>
      </c>
      <c r="O27" s="245">
        <f t="shared" si="11"/>
        <v>0.74817241447773375</v>
      </c>
      <c r="P27" s="245">
        <f t="shared" si="12"/>
        <v>1.8704310361943345E-2</v>
      </c>
      <c r="Q27" s="245">
        <f t="shared" si="13"/>
        <v>1860.5521570176502</v>
      </c>
      <c r="R27" s="560" cm="1">
        <f t="array" aca="1" ref="R27" ca="1">_xlfn.XLOOKUP(I27,T_minESABlindWidth[Description],INDIRECT(_xlfn.CONCAT("T_minESABlindWidth[",i_idler,"]")))</f>
        <v>1010</v>
      </c>
      <c r="S27" s="245">
        <f t="shared" ca="1" si="14"/>
        <v>1.01</v>
      </c>
      <c r="T27" s="245">
        <v>3.9516218222799702</v>
      </c>
      <c r="U27" s="606" t="str">
        <f t="shared" ca="1" si="9"/>
        <v/>
      </c>
      <c r="V27" s="245" t="s">
        <v>887</v>
      </c>
      <c r="W27" s="245"/>
      <c r="X27" s="245"/>
      <c r="Y27" s="245"/>
      <c r="Z27" s="245"/>
      <c r="AA27" s="245"/>
    </row>
    <row r="28" spans="1:27">
      <c r="A28" s="244" t="s">
        <v>904</v>
      </c>
      <c r="D28" s="245">
        <f t="shared" si="16"/>
        <v>6.6824584863396626E-3</v>
      </c>
      <c r="E28" s="245">
        <f t="shared" si="17"/>
        <v>1.9937247528674068E-2</v>
      </c>
      <c r="F28" s="245" t="e">
        <f t="shared" ca="1" si="19"/>
        <v>#DIV/0!</v>
      </c>
      <c r="G28" s="245" t="e">
        <f ca="1">IF(P28&lt;&gt;"",IF(OR(input_idealSpringRate&gt;_SpringData_L0!E28,input_idealSpringRate&lt;_SpringData_L0!$D$4),"n",IF(AND(input_idealSpringRate&lt;_SpringData_L0!E28,input_idealSpringRate&gt;_SpringData_L0!D28*$B$12),"y","n")),"")</f>
        <v>#DIV/0!</v>
      </c>
      <c r="H28" s="245">
        <v>40</v>
      </c>
      <c r="I28" s="245" t="s">
        <v>897</v>
      </c>
      <c r="J28" s="245">
        <v>1.6</v>
      </c>
      <c r="K28" s="245">
        <f t="shared" si="10"/>
        <v>20.6</v>
      </c>
      <c r="L28" s="245">
        <v>22</v>
      </c>
      <c r="M28" s="245">
        <v>313</v>
      </c>
      <c r="N28" s="245">
        <v>37</v>
      </c>
      <c r="O28" s="245">
        <f t="shared" si="11"/>
        <v>0.72080316800562494</v>
      </c>
      <c r="P28" s="245">
        <f t="shared" si="12"/>
        <v>1.9481166702854727E-2</v>
      </c>
      <c r="Q28" s="245">
        <f t="shared" si="13"/>
        <v>1792.4904247561419</v>
      </c>
      <c r="R28" s="560" cm="1">
        <f t="array" aca="1" ref="R28" ca="1">_xlfn.XLOOKUP(I28,T_minESABlindWidth[Description],INDIRECT(_xlfn.CONCAT("T_minESABlindWidth[",i_idler,"]")))</f>
        <v>1010</v>
      </c>
      <c r="S28" s="245">
        <f t="shared" ca="1" si="14"/>
        <v>1.01</v>
      </c>
      <c r="T28" s="245">
        <v>3.8070656885256393</v>
      </c>
      <c r="U28" s="606" t="str">
        <f t="shared" ca="1" si="9"/>
        <v/>
      </c>
      <c r="V28" s="245" t="s">
        <v>887</v>
      </c>
      <c r="W28" s="245"/>
      <c r="X28" s="245"/>
      <c r="Y28" s="245"/>
      <c r="Z28" s="245"/>
      <c r="AA28" s="245"/>
    </row>
    <row r="29" spans="1:27">
      <c r="A29" s="245" t="b">
        <v>1</v>
      </c>
      <c r="D29" s="245">
        <f t="shared" si="16"/>
        <v>6.9780366350359231E-3</v>
      </c>
      <c r="E29" s="245">
        <f t="shared" si="17"/>
        <v>2.0894217121095005E-2</v>
      </c>
      <c r="F29" s="245" t="e">
        <f t="shared" ca="1" si="19"/>
        <v>#DIV/0!</v>
      </c>
      <c r="G29" s="245" t="e">
        <f ca="1">IF(P29&lt;&gt;"",IF(OR(input_idealSpringRate&gt;_SpringData_L0!E29,input_idealSpringRate&lt;_SpringData_L0!$D$4),"n",IF(AND(input_idealSpringRate&lt;_SpringData_L0!E29,input_idealSpringRate&gt;_SpringData_L0!D29*$B$12),"y","n")),"")</f>
        <v>#DIV/0!</v>
      </c>
      <c r="H29" s="245">
        <v>39</v>
      </c>
      <c r="I29" s="245" t="s">
        <v>897</v>
      </c>
      <c r="J29" s="245">
        <v>1.6</v>
      </c>
      <c r="K29" s="245">
        <f t="shared" si="10"/>
        <v>20.6</v>
      </c>
      <c r="L29" s="245">
        <v>21</v>
      </c>
      <c r="M29" s="245">
        <v>299</v>
      </c>
      <c r="N29" s="245">
        <v>35</v>
      </c>
      <c r="O29" s="245">
        <f t="shared" si="11"/>
        <v>0.71376649240726942</v>
      </c>
      <c r="P29" s="245">
        <f t="shared" si="12"/>
        <v>2.0393328354493413E-2</v>
      </c>
      <c r="Q29" s="245">
        <f t="shared" si="13"/>
        <v>1774.9916481246983</v>
      </c>
      <c r="R29" s="560" cm="1">
        <f t="array" aca="1" ref="R29" ca="1">_xlfn.XLOOKUP(I29,T_minESABlindWidth[Description],INDIRECT(_xlfn.CONCAT("T_minESABlindWidth[",i_idler,"]")))</f>
        <v>1010</v>
      </c>
      <c r="S29" s="245">
        <f t="shared" ca="1" si="14"/>
        <v>1.01</v>
      </c>
      <c r="T29" s="245">
        <v>3.769900082961076</v>
      </c>
      <c r="U29" s="606" t="str">
        <f t="shared" ca="1" si="9"/>
        <v/>
      </c>
      <c r="V29" s="245" t="s">
        <v>887</v>
      </c>
      <c r="W29" s="245"/>
      <c r="X29" s="245"/>
      <c r="Y29" s="245"/>
      <c r="Z29" s="245"/>
      <c r="AA29" s="245"/>
    </row>
    <row r="30" spans="1:27">
      <c r="A30" s="245" t="b">
        <v>0</v>
      </c>
      <c r="D30" s="245">
        <f t="shared" si="16"/>
        <v>7.3129759923832513E-3</v>
      </c>
      <c r="E30" s="245">
        <f t="shared" si="17"/>
        <v>2.1947746999186918E-2</v>
      </c>
      <c r="F30" s="245" t="e">
        <f t="shared" ca="1" si="19"/>
        <v>#DIV/0!</v>
      </c>
      <c r="G30" s="245" t="e">
        <f ca="1">IF(P30&lt;&gt;"",IF(OR(input_idealSpringRate&gt;_SpringData_L0!E30,input_idealSpringRate&lt;_SpringData_L0!$D$4),"n",IF(AND(input_idealSpringRate&lt;_SpringData_L0!E30,input_idealSpringRate&gt;_SpringData_L0!D30*$B$12),"y","n")),"")</f>
        <v>#DIV/0!</v>
      </c>
      <c r="H30" s="245">
        <v>38</v>
      </c>
      <c r="I30" s="245" t="s">
        <v>897</v>
      </c>
      <c r="J30" s="245">
        <v>1.6</v>
      </c>
      <c r="K30" s="245">
        <f t="shared" si="10"/>
        <v>20.6</v>
      </c>
      <c r="L30" s="245">
        <v>20</v>
      </c>
      <c r="M30" s="245">
        <v>285</v>
      </c>
      <c r="N30" s="245">
        <v>45</v>
      </c>
      <c r="O30" s="245">
        <f t="shared" si="11"/>
        <v>0.96277976494634687</v>
      </c>
      <c r="P30" s="245">
        <f t="shared" si="12"/>
        <v>2.1395105887696598E-2</v>
      </c>
      <c r="Q30" s="245">
        <f t="shared" si="13"/>
        <v>2394.2368546885027</v>
      </c>
      <c r="R30" s="560" cm="1">
        <f t="array" aca="1" ref="R30" ca="1">_xlfn.XLOOKUP(I30,T_minESABlindWidth[Description],INDIRECT(_xlfn.CONCAT("T_minESABlindWidth[",i_idler,"]")))</f>
        <v>1010</v>
      </c>
      <c r="S30" s="245">
        <f t="shared" ca="1" si="14"/>
        <v>1.01</v>
      </c>
      <c r="T30" s="245">
        <v>5.0851133449865937</v>
      </c>
      <c r="U30" s="606" t="str">
        <f t="shared" ca="1" si="9"/>
        <v/>
      </c>
      <c r="V30" s="245" t="s">
        <v>887</v>
      </c>
      <c r="W30" s="245"/>
      <c r="X30" s="245"/>
      <c r="Y30" s="245"/>
      <c r="Z30" s="245"/>
      <c r="AA30" s="245"/>
    </row>
    <row r="31" spans="1:27">
      <c r="D31" s="245">
        <f t="shared" si="16"/>
        <v>7.6817114497154211E-3</v>
      </c>
      <c r="E31" s="245">
        <f t="shared" si="17"/>
        <v>2.3113239148711242E-2</v>
      </c>
      <c r="F31" s="245" t="e">
        <f t="shared" ca="1" si="19"/>
        <v>#DIV/0!</v>
      </c>
      <c r="G31" s="245" t="e">
        <f ca="1">IF(P31&lt;&gt;"",IF(OR(input_idealSpringRate&gt;_SpringData_L0!E31,input_idealSpringRate&lt;_SpringData_L0!$D$4),"n",IF(AND(input_idealSpringRate&lt;_SpringData_L0!E31,input_idealSpringRate&gt;_SpringData_L0!D31*$B$12),"y","n")),"")</f>
        <v>#DIV/0!</v>
      </c>
      <c r="H31" s="245">
        <v>37</v>
      </c>
      <c r="I31" s="245" t="s">
        <v>897</v>
      </c>
      <c r="J31" s="245">
        <v>1.6</v>
      </c>
      <c r="K31" s="245">
        <f t="shared" si="10"/>
        <v>20.6</v>
      </c>
      <c r="L31" s="245">
        <v>19</v>
      </c>
      <c r="M31" s="245">
        <v>271</v>
      </c>
      <c r="N31" s="245">
        <v>42</v>
      </c>
      <c r="O31" s="245">
        <f t="shared" si="11"/>
        <v>0.94501630064844377</v>
      </c>
      <c r="P31" s="245">
        <f t="shared" si="12"/>
        <v>2.2500388110677234E-2</v>
      </c>
      <c r="Q31" s="245">
        <f t="shared" si="13"/>
        <v>2350.0627429783826</v>
      </c>
      <c r="R31" s="560" cm="1">
        <f t="array" aca="1" ref="R31" ca="1">_xlfn.XLOOKUP(I31,T_minESABlindWidth[Description],INDIRECT(_xlfn.CONCAT("T_minESABlindWidth[",i_idler,"]")))</f>
        <v>1010</v>
      </c>
      <c r="S31" s="245">
        <f t="shared" ca="1" si="14"/>
        <v>1.01</v>
      </c>
      <c r="T31" s="245">
        <v>4.9912920655587962</v>
      </c>
      <c r="U31" s="606" t="str">
        <f t="shared" ca="1" si="9"/>
        <v/>
      </c>
      <c r="V31" s="245" t="s">
        <v>887</v>
      </c>
      <c r="W31" s="245"/>
      <c r="X31" s="245"/>
      <c r="Y31" s="245"/>
      <c r="Z31" s="245"/>
      <c r="AA31" s="245"/>
    </row>
    <row r="32" spans="1:27">
      <c r="D32" s="245">
        <f t="shared" si="16"/>
        <v>8.0896337020489335E-3</v>
      </c>
      <c r="E32" s="245">
        <f t="shared" si="17"/>
        <v>2.4409557805293469E-2</v>
      </c>
      <c r="F32" s="245" t="e">
        <f t="shared" ca="1" si="19"/>
        <v>#DIV/0!</v>
      </c>
      <c r="G32" s="245" t="e">
        <f ca="1">IF(P32&lt;&gt;"",IF(OR(input_idealSpringRate&gt;_SpringData_L0!E32,input_idealSpringRate&lt;_SpringData_L0!$D$4),"n",IF(AND(input_idealSpringRate&lt;_SpringData_L0!E32,input_idealSpringRate&gt;_SpringData_L0!D32*$B$12),"y","n")),"")</f>
        <v>#DIV/0!</v>
      </c>
      <c r="H32" s="245">
        <v>36</v>
      </c>
      <c r="I32" s="245" t="s">
        <v>897</v>
      </c>
      <c r="J32" s="245">
        <v>1.6</v>
      </c>
      <c r="K32" s="245">
        <f t="shared" si="10"/>
        <v>20.6</v>
      </c>
      <c r="L32" s="245">
        <v>18</v>
      </c>
      <c r="M32" s="245">
        <v>257</v>
      </c>
      <c r="N32" s="245">
        <v>41</v>
      </c>
      <c r="O32" s="245">
        <f t="shared" si="11"/>
        <v>0.9727696976565553</v>
      </c>
      <c r="P32" s="245">
        <f t="shared" si="12"/>
        <v>2.3726090186745249E-2</v>
      </c>
      <c r="Q32" s="245">
        <f t="shared" si="13"/>
        <v>2419.0797792507697</v>
      </c>
      <c r="R32" s="560" cm="1">
        <f t="array" aca="1" ref="R32" ca="1">_xlfn.XLOOKUP(I32,T_minESABlindWidth[Description],INDIRECT(_xlfn.CONCAT("T_minESABlindWidth[",i_idler,"]")))</f>
        <v>1010</v>
      </c>
      <c r="S32" s="245">
        <f t="shared" ca="1" si="14"/>
        <v>1.01</v>
      </c>
      <c r="T32" s="245">
        <v>5.1378771669838601</v>
      </c>
      <c r="U32" s="606" t="str">
        <f t="shared" ca="1" si="9"/>
        <v/>
      </c>
      <c r="V32" s="245" t="s">
        <v>887</v>
      </c>
      <c r="W32" s="245"/>
      <c r="X32" s="245"/>
      <c r="Y32" s="245"/>
      <c r="Z32" s="245"/>
      <c r="AA32" s="245"/>
    </row>
    <row r="33" spans="4:27">
      <c r="D33" s="245">
        <f t="shared" si="16"/>
        <v>8.5433452318527132E-3</v>
      </c>
      <c r="E33" s="245">
        <f t="shared" si="17"/>
        <v>2.5802176142341558E-2</v>
      </c>
      <c r="F33" s="245" t="e">
        <f t="shared" ca="1" si="19"/>
        <v>#DIV/0!</v>
      </c>
      <c r="G33" s="245" t="e">
        <f ca="1">IF(P33&lt;&gt;"",IF(OR(input_idealSpringRate&gt;_SpringData_L0!E33,input_idealSpringRate&lt;_SpringData_L0!$D$4),"n",IF(AND(input_idealSpringRate&lt;_SpringData_L0!E33,input_idealSpringRate&gt;_SpringData_L0!D33*$B$12),"y","n")),"")</f>
        <v>#DIV/0!</v>
      </c>
      <c r="H33" s="245">
        <v>35</v>
      </c>
      <c r="I33" s="245" t="s">
        <v>897</v>
      </c>
      <c r="J33" s="245">
        <v>1.6</v>
      </c>
      <c r="K33" s="245">
        <f t="shared" si="10"/>
        <v>20.6</v>
      </c>
      <c r="L33" s="245">
        <v>17</v>
      </c>
      <c r="M33" s="245">
        <v>243</v>
      </c>
      <c r="N33" s="245">
        <v>38</v>
      </c>
      <c r="O33" s="245">
        <f t="shared" si="11"/>
        <v>0.95353496610598398</v>
      </c>
      <c r="P33" s="245">
        <f t="shared" si="12"/>
        <v>2.5093025423841685E-2</v>
      </c>
      <c r="Q33" s="245">
        <f t="shared" si="13"/>
        <v>2371.2469260426597</v>
      </c>
      <c r="R33" s="560" cm="1">
        <f t="array" aca="1" ref="R33" ca="1">_xlfn.XLOOKUP(I33,T_minESABlindWidth[Description],INDIRECT(_xlfn.CONCAT("T_minESABlindWidth[",i_idler,"]")))</f>
        <v>1010</v>
      </c>
      <c r="S33" s="245">
        <f t="shared" ca="1" si="14"/>
        <v>1.01</v>
      </c>
      <c r="T33" s="245">
        <v>5.0362850961321266</v>
      </c>
      <c r="U33" s="606" t="str">
        <f t="shared" ca="1" si="9"/>
        <v/>
      </c>
      <c r="V33" s="245" t="s">
        <v>887</v>
      </c>
      <c r="W33" s="245"/>
      <c r="X33" s="245"/>
      <c r="Y33" s="245"/>
      <c r="Z33" s="245"/>
      <c r="AA33" s="245"/>
    </row>
    <row r="34" spans="4:27">
      <c r="D34" s="245">
        <f t="shared" si="16"/>
        <v>9.0307616498195454E-3</v>
      </c>
      <c r="E34" s="245">
        <f t="shared" si="17"/>
        <v>2.7114215336966896E-2</v>
      </c>
      <c r="F34" s="245" t="e">
        <f t="shared" ca="1" si="19"/>
        <v>#DIV/0!</v>
      </c>
      <c r="G34" s="245" t="e">
        <f ca="1">IF(P34&lt;&gt;"",IF(OR(input_idealSpringRate&gt;_SpringData_L0!E34,input_idealSpringRate&lt;_SpringData_L0!$D$4),"n",IF(AND(input_idealSpringRate&lt;_SpringData_L0!E34,input_idealSpringRate&gt;_SpringData_L0!D34*$B$12),"y","n")),"")</f>
        <v>#DIV/0!</v>
      </c>
      <c r="H34" s="245">
        <v>34</v>
      </c>
      <c r="I34" s="245" t="s">
        <v>897</v>
      </c>
      <c r="J34" s="245">
        <v>1.6</v>
      </c>
      <c r="K34" s="245">
        <f t="shared" si="10"/>
        <v>20.6</v>
      </c>
      <c r="L34" s="245">
        <v>16</v>
      </c>
      <c r="M34" s="245">
        <v>230</v>
      </c>
      <c r="N34" s="245">
        <v>37</v>
      </c>
      <c r="O34" s="245">
        <f t="shared" si="11"/>
        <v>0.98091909385113307</v>
      </c>
      <c r="P34" s="245">
        <f t="shared" si="12"/>
        <v>2.6511326860841435E-2</v>
      </c>
      <c r="Q34" s="245">
        <f t="shared" si="13"/>
        <v>2439.3456649942282</v>
      </c>
      <c r="R34" s="560" cm="1">
        <f t="array" aca="1" ref="R34" ca="1">_xlfn.XLOOKUP(I34,T_minESABlindWidth[Description],INDIRECT(_xlfn.CONCAT("T_minESABlindWidth[",i_idler,"]")))</f>
        <v>1010</v>
      </c>
      <c r="S34" s="245">
        <f t="shared" ca="1" si="14"/>
        <v>1.01</v>
      </c>
      <c r="T34" s="245">
        <v>5.1809198282979354</v>
      </c>
      <c r="U34" s="606" t="str">
        <f t="shared" ca="1" si="9"/>
        <v/>
      </c>
      <c r="V34" s="245" t="s">
        <v>887</v>
      </c>
      <c r="W34" s="245"/>
      <c r="X34" s="245"/>
      <c r="Y34" s="245"/>
      <c r="Z34" s="245"/>
      <c r="AA34" s="245"/>
    </row>
    <row r="35" spans="4:27">
      <c r="D35" s="245">
        <f t="shared" si="16"/>
        <v>9.4899753679384136E-3</v>
      </c>
      <c r="E35" s="245">
        <f t="shared" si="17"/>
        <v>2.7973378707457124E-2</v>
      </c>
      <c r="F35" s="245" t="e">
        <f t="shared" ca="1" si="19"/>
        <v>#DIV/0!</v>
      </c>
      <c r="G35" s="245" t="e">
        <f ca="1">IF(P35&lt;&gt;"",IF(OR(input_idealSpringRate&gt;_SpringData_L0!E35,input_idealSpringRate&lt;_SpringData_L0!$D$4),"n",IF(AND(input_idealSpringRate&lt;_SpringData_L0!E35,input_idealSpringRate&gt;_SpringData_L0!D35*$B$12),"y","n")),"")</f>
        <v>#DIV/0!</v>
      </c>
      <c r="H35" s="245">
        <v>72</v>
      </c>
      <c r="I35" s="245" t="s">
        <v>902</v>
      </c>
      <c r="J35" s="245">
        <v>1.8</v>
      </c>
      <c r="K35" s="245">
        <f t="shared" si="10"/>
        <v>20.8</v>
      </c>
      <c r="L35" s="245">
        <v>29</v>
      </c>
      <c r="M35" s="245">
        <v>349</v>
      </c>
      <c r="N35" s="245">
        <v>38</v>
      </c>
      <c r="O35" s="245">
        <f t="shared" si="11"/>
        <v>1.0532499448975094</v>
      </c>
      <c r="P35" s="245">
        <f t="shared" si="12"/>
        <v>2.7717103813092354E-2</v>
      </c>
      <c r="Q35" s="245">
        <f t="shared" si="13"/>
        <v>1839.5603296757754</v>
      </c>
      <c r="R35" s="560" cm="1">
        <f t="array" aca="1" ref="R35" ca="1">_xlfn.XLOOKUP(I35,T_minESABlindWidth[Description],INDIRECT(_xlfn.CONCAT("T_minESABlindWidth[",i_idler,"]")))</f>
        <v>1110</v>
      </c>
      <c r="S35" s="245">
        <f t="shared" ca="1" si="14"/>
        <v>1.1100000000000001</v>
      </c>
      <c r="T35" s="245">
        <v>5.5629496437362178</v>
      </c>
      <c r="U35" s="606" t="str">
        <f t="shared" ca="1" si="9"/>
        <v/>
      </c>
      <c r="V35" s="245" t="s">
        <v>887</v>
      </c>
      <c r="W35" s="245"/>
      <c r="X35" s="245">
        <v>56</v>
      </c>
      <c r="Y35" s="245">
        <v>38</v>
      </c>
      <c r="Z35" s="245"/>
      <c r="AA35" s="245"/>
    </row>
    <row r="36" spans="4:27">
      <c r="D36" s="245">
        <f t="shared" si="16"/>
        <v>9.7906825476099923E-3</v>
      </c>
      <c r="E36" s="245">
        <f t="shared" si="17"/>
        <v>2.8466858300568561E-2</v>
      </c>
      <c r="F36" s="245" t="e">
        <f t="shared" ca="1" si="19"/>
        <v>#DIV/0!</v>
      </c>
      <c r="G36" s="245" t="e">
        <f ca="1">IF(P36&lt;&gt;"",IF(OR(input_idealSpringRate&gt;_SpringData_L0!E36,input_idealSpringRate&lt;_SpringData_L0!$D$4),"n",IF(AND(input_idealSpringRate&lt;_SpringData_L0!E36,input_idealSpringRate&gt;_SpringData_L0!D36*$B$12),"y","n")),"")</f>
        <v>#DIV/0!</v>
      </c>
      <c r="H36" s="245">
        <v>33</v>
      </c>
      <c r="I36" s="245" t="s">
        <v>897</v>
      </c>
      <c r="J36" s="245">
        <v>1.6</v>
      </c>
      <c r="K36" s="245">
        <f t="shared" si="10"/>
        <v>20.6</v>
      </c>
      <c r="L36" s="245">
        <v>15</v>
      </c>
      <c r="M36" s="245">
        <v>216</v>
      </c>
      <c r="N36" s="245">
        <v>35</v>
      </c>
      <c r="O36" s="245">
        <f t="shared" si="11"/>
        <v>0.98803787606376636</v>
      </c>
      <c r="P36" s="245">
        <f t="shared" si="12"/>
        <v>2.8229653601821895E-2</v>
      </c>
      <c r="Q36" s="245">
        <f t="shared" si="13"/>
        <v>2457.0486240244663</v>
      </c>
      <c r="R36" s="560" cm="1">
        <f t="array" aca="1" ref="R36" ca="1">_xlfn.XLOOKUP(I36,T_minESABlindWidth[Description],INDIRECT(_xlfn.CONCAT("T_minESABlindWidth[",i_idler,"]")))</f>
        <v>1010</v>
      </c>
      <c r="S36" s="245">
        <f t="shared" ca="1" si="14"/>
        <v>1.01</v>
      </c>
      <c r="T36" s="245">
        <v>5.2185190963211179</v>
      </c>
      <c r="U36" s="606" t="str">
        <f t="shared" ca="1" si="9"/>
        <v/>
      </c>
      <c r="V36" s="245" t="s">
        <v>887</v>
      </c>
      <c r="W36" s="245"/>
      <c r="X36" s="245"/>
      <c r="Y36" s="245"/>
      <c r="Z36" s="245"/>
      <c r="AA36" s="245"/>
    </row>
    <row r="37" spans="4:27">
      <c r="D37" s="245">
        <f t="shared" si="16"/>
        <v>9.9634004051989949E-3</v>
      </c>
      <c r="E37" s="245">
        <f t="shared" si="17"/>
        <v>2.923398416237951E-2</v>
      </c>
      <c r="F37" s="245" t="e">
        <f t="shared" ca="1" si="19"/>
        <v>#DIV/0!</v>
      </c>
      <c r="G37" s="245" t="e">
        <f ca="1">IF(P37&lt;&gt;"",IF(OR(input_idealSpringRate&gt;_SpringData_L0!E37,input_idealSpringRate&lt;_SpringData_L0!$D$4),"n",IF(AND(input_idealSpringRate&lt;_SpringData_L0!E37,input_idealSpringRate&gt;_SpringData_L0!D37*$B$12),"y","n")),"")</f>
        <v>#DIV/0!</v>
      </c>
      <c r="H37" s="245">
        <v>71</v>
      </c>
      <c r="I37" s="245" t="s">
        <v>902</v>
      </c>
      <c r="J37" s="245">
        <v>1.8</v>
      </c>
      <c r="K37" s="245">
        <f t="shared" si="10"/>
        <v>20.8</v>
      </c>
      <c r="L37" s="245">
        <v>28</v>
      </c>
      <c r="M37" s="245">
        <v>337</v>
      </c>
      <c r="N37" s="245">
        <v>48</v>
      </c>
      <c r="O37" s="245">
        <f t="shared" si="11"/>
        <v>1.3777950239671308</v>
      </c>
      <c r="P37" s="245">
        <f t="shared" si="12"/>
        <v>2.8704062999315227E-2</v>
      </c>
      <c r="Q37" s="245">
        <f t="shared" si="13"/>
        <v>2406.396583064859</v>
      </c>
      <c r="R37" s="560" cm="1">
        <f t="array" aca="1" ref="R37" ca="1">_xlfn.XLOOKUP(I37,T_minESABlindWidth[Description],INDIRECT(_xlfn.CONCAT("T_minESABlindWidth[",i_idler,"]")))</f>
        <v>1110</v>
      </c>
      <c r="S37" s="245">
        <f t="shared" ca="1" si="14"/>
        <v>1.1100000000000001</v>
      </c>
      <c r="T37" s="245">
        <v>7.2770992059869677</v>
      </c>
      <c r="U37" s="606" t="str">
        <f t="shared" ca="1" si="9"/>
        <v/>
      </c>
      <c r="V37" s="245" t="s">
        <v>887</v>
      </c>
      <c r="W37" s="245"/>
      <c r="X37" s="245"/>
      <c r="Y37" s="245">
        <v>38</v>
      </c>
      <c r="Z37" s="245"/>
      <c r="AA37" s="245"/>
    </row>
    <row r="38" spans="4:27">
      <c r="D38" s="245">
        <f t="shared" si="16"/>
        <v>1.0231894456832829E-2</v>
      </c>
      <c r="E38" s="245">
        <f t="shared" si="17"/>
        <v>2.9975034786468256E-2</v>
      </c>
      <c r="F38" s="245" t="e">
        <f t="shared" ca="1" si="19"/>
        <v>#DIV/0!</v>
      </c>
      <c r="G38" s="245" t="e">
        <f ca="1">IF(P38&lt;&gt;"",IF(OR(input_idealSpringRate&gt;_SpringData_L0!E38,input_idealSpringRate&lt;_SpringData_L0!$D$4),"n",IF(AND(input_idealSpringRate&lt;_SpringData_L0!E38,input_idealSpringRate&gt;_SpringData_L0!D38*$B$12),"y","n")),"")</f>
        <v>#DIV/0!</v>
      </c>
      <c r="H38" s="245">
        <v>70</v>
      </c>
      <c r="I38" s="245" t="s">
        <v>902</v>
      </c>
      <c r="J38" s="245">
        <v>1.8</v>
      </c>
      <c r="K38" s="245">
        <f t="shared" si="10"/>
        <v>20.8</v>
      </c>
      <c r="L38" s="245">
        <v>27</v>
      </c>
      <c r="M38" s="245">
        <v>325</v>
      </c>
      <c r="N38" s="245">
        <v>37</v>
      </c>
      <c r="O38" s="245">
        <f t="shared" si="11"/>
        <v>1.1012644970414203</v>
      </c>
      <c r="P38" s="245">
        <f t="shared" si="12"/>
        <v>2.976390532544379E-2</v>
      </c>
      <c r="Q38" s="245">
        <f t="shared" si="13"/>
        <v>1923.4204483484443</v>
      </c>
      <c r="R38" s="560" cm="1">
        <f t="array" aca="1" ref="R38" ca="1">_xlfn.XLOOKUP(I38,T_minESABlindWidth[Description],INDIRECT(_xlfn.CONCAT("T_minESABlindWidth[",i_idler,"]")))</f>
        <v>1110</v>
      </c>
      <c r="S38" s="245">
        <f t="shared" ca="1" si="14"/>
        <v>1.1100000000000001</v>
      </c>
      <c r="T38" s="245">
        <v>5.8165480768879183</v>
      </c>
      <c r="U38" s="606" t="str">
        <f t="shared" ca="1" si="9"/>
        <v/>
      </c>
      <c r="V38" s="245" t="s">
        <v>887</v>
      </c>
      <c r="W38" s="245"/>
      <c r="X38" s="245"/>
      <c r="Y38" s="245"/>
      <c r="Z38" s="245"/>
      <c r="AA38" s="245"/>
    </row>
    <row r="39" spans="4:27">
      <c r="D39" s="245">
        <f t="shared" si="16"/>
        <v>1.049126217526389E-2</v>
      </c>
      <c r="E39" s="245">
        <f t="shared" si="17"/>
        <v>3.0545588882163667E-2</v>
      </c>
      <c r="F39" s="245" t="e">
        <f t="shared" ca="1" si="19"/>
        <v>#DIV/0!</v>
      </c>
      <c r="G39" s="245" t="e">
        <f ca="1">IF(P39&lt;&gt;"",IF(OR(input_idealSpringRate&gt;_SpringData_L0!E39,input_idealSpringRate&lt;_SpringData_L0!$D$4),"n",IF(AND(input_idealSpringRate&lt;_SpringData_L0!E39,input_idealSpringRate&gt;_SpringData_L0!D39*$B$12),"y","n")),"")</f>
        <v>#DIV/0!</v>
      </c>
      <c r="H39" s="245">
        <v>32</v>
      </c>
      <c r="I39" s="245" t="s">
        <v>897</v>
      </c>
      <c r="J39" s="245">
        <v>1.6</v>
      </c>
      <c r="K39" s="245">
        <f t="shared" si="10"/>
        <v>20.6</v>
      </c>
      <c r="L39" s="245">
        <v>14</v>
      </c>
      <c r="M39" s="245">
        <v>202</v>
      </c>
      <c r="N39" s="245">
        <v>40</v>
      </c>
      <c r="O39" s="245">
        <f t="shared" si="11"/>
        <v>1.2074465698997088</v>
      </c>
      <c r="P39" s="245">
        <f t="shared" si="12"/>
        <v>3.0186164247492719E-2</v>
      </c>
      <c r="Q39" s="245">
        <f t="shared" si="13"/>
        <v>3002.6732831076929</v>
      </c>
      <c r="R39" s="560" cm="1">
        <f t="array" aca="1" ref="R39" ca="1">_xlfn.XLOOKUP(I39,T_minESABlindWidth[Description],INDIRECT(_xlfn.CONCAT("T_minESABlindWidth[",i_idler,"]")))</f>
        <v>1010</v>
      </c>
      <c r="S39" s="245">
        <f t="shared" ca="1" si="14"/>
        <v>1.01</v>
      </c>
      <c r="T39" s="245">
        <v>6.3773698716003473</v>
      </c>
      <c r="U39" s="606" t="str">
        <f t="shared" ca="1" si="9"/>
        <v/>
      </c>
      <c r="V39" s="245" t="s">
        <v>887</v>
      </c>
      <c r="W39" s="245"/>
      <c r="X39" s="245"/>
      <c r="Y39" s="245"/>
      <c r="Z39" s="245"/>
      <c r="AA39" s="245"/>
    </row>
    <row r="40" spans="4:27">
      <c r="D40" s="245">
        <f t="shared" si="16"/>
        <v>1.0690956108757282E-2</v>
      </c>
      <c r="E40" s="245">
        <f t="shared" si="17"/>
        <v>3.1521060297901082E-2</v>
      </c>
      <c r="F40" s="245" t="e">
        <f t="shared" ca="1" si="19"/>
        <v>#DIV/0!</v>
      </c>
      <c r="G40" s="245" t="e">
        <f ca="1">IF(P40&lt;&gt;"",IF(OR(input_idealSpringRate&gt;_SpringData_L0!E40,input_idealSpringRate&lt;_SpringData_L0!$D$4),"n",IF(AND(input_idealSpringRate&lt;_SpringData_L0!E40,input_idealSpringRate&gt;_SpringData_L0!D40*$B$12),"y","n")),"")</f>
        <v>#DIV/0!</v>
      </c>
      <c r="H40" s="245">
        <v>69</v>
      </c>
      <c r="I40" s="245" t="s">
        <v>902</v>
      </c>
      <c r="J40" s="245">
        <v>1.8</v>
      </c>
      <c r="K40" s="245">
        <f t="shared" si="10"/>
        <v>20.8</v>
      </c>
      <c r="L40" s="245">
        <v>26</v>
      </c>
      <c r="M40" s="245">
        <v>313</v>
      </c>
      <c r="N40" s="245">
        <v>38</v>
      </c>
      <c r="O40" s="245">
        <f t="shared" si="11"/>
        <v>1.1743905136397152</v>
      </c>
      <c r="P40" s="245">
        <f t="shared" si="12"/>
        <v>3.0905013516834612E-2</v>
      </c>
      <c r="Q40" s="245">
        <f t="shared" si="13"/>
        <v>2051.1391535362482</v>
      </c>
      <c r="R40" s="560" cm="1">
        <f t="array" aca="1" ref="R40" ca="1">_xlfn.XLOOKUP(I40,T_minESABlindWidth[Description],INDIRECT(_xlfn.CONCAT("T_minESABlindWidth[",i_idler,"]")))</f>
        <v>1110</v>
      </c>
      <c r="S40" s="245">
        <f t="shared" ca="1" si="14"/>
        <v>1.1100000000000001</v>
      </c>
      <c r="T40" s="245">
        <v>6.2027777177761676</v>
      </c>
      <c r="U40" s="606" t="str">
        <f t="shared" ca="1" si="9"/>
        <v/>
      </c>
      <c r="V40" s="245" t="s">
        <v>887</v>
      </c>
      <c r="W40" s="245"/>
      <c r="X40" s="245"/>
      <c r="Y40" s="245"/>
      <c r="Z40" s="245"/>
      <c r="AA40" s="245"/>
    </row>
    <row r="41" spans="4:27">
      <c r="D41" s="245">
        <f t="shared" si="16"/>
        <v>1.1032371104265378E-2</v>
      </c>
      <c r="E41" s="245">
        <f t="shared" si="17"/>
        <v>3.2285588587338904E-2</v>
      </c>
      <c r="F41" s="245" t="e">
        <f t="shared" ca="1" si="19"/>
        <v>#DIV/0!</v>
      </c>
      <c r="G41" s="245" t="e">
        <f ca="1">IF(P41&lt;&gt;"",IF(OR(input_idealSpringRate&gt;_SpringData_L0!E41,input_idealSpringRate&lt;_SpringData_L0!$D$4),"n",IF(AND(input_idealSpringRate&lt;_SpringData_L0!E41,input_idealSpringRate&gt;_SpringData_L0!D41*$B$12),"y","n")),"")</f>
        <v>#DIV/0!</v>
      </c>
      <c r="H41" s="245">
        <v>68</v>
      </c>
      <c r="I41" s="245" t="s">
        <v>902</v>
      </c>
      <c r="J41" s="245">
        <v>1.8</v>
      </c>
      <c r="K41" s="245">
        <f t="shared" si="10"/>
        <v>20.8</v>
      </c>
      <c r="L41" s="245">
        <v>25</v>
      </c>
      <c r="M41" s="245">
        <v>301</v>
      </c>
      <c r="N41" s="245">
        <v>36</v>
      </c>
      <c r="O41" s="245">
        <f t="shared" si="11"/>
        <v>1.1569358548428319</v>
      </c>
      <c r="P41" s="245">
        <f t="shared" si="12"/>
        <v>3.2137107078967553E-2</v>
      </c>
      <c r="Q41" s="245">
        <f t="shared" si="13"/>
        <v>2020.6536092014728</v>
      </c>
      <c r="R41" s="560" cm="1">
        <f t="array" aca="1" ref="R41" ca="1">_xlfn.XLOOKUP(I41,T_minESABlindWidth[Description],INDIRECT(_xlfn.CONCAT("T_minESABlindWidth[",i_idler,"]")))</f>
        <v>1110</v>
      </c>
      <c r="S41" s="245">
        <f t="shared" ca="1" si="14"/>
        <v>1.1100000000000001</v>
      </c>
      <c r="T41" s="245">
        <v>6.1105874561900562</v>
      </c>
      <c r="U41" s="606" t="str">
        <f t="shared" ca="1" si="9"/>
        <v/>
      </c>
      <c r="V41" s="245" t="s">
        <v>887</v>
      </c>
      <c r="W41" s="245"/>
      <c r="X41" s="245"/>
      <c r="Y41" s="245"/>
      <c r="Z41" s="245"/>
      <c r="AA41" s="245"/>
    </row>
    <row r="42" spans="4:27">
      <c r="D42" s="245">
        <f t="shared" si="16"/>
        <v>1.1299956005568615E-2</v>
      </c>
      <c r="E42" s="245">
        <f t="shared" si="17"/>
        <v>3.2895085445733122E-2</v>
      </c>
      <c r="F42" s="245" t="e">
        <f t="shared" ca="1" si="19"/>
        <v>#DIV/0!</v>
      </c>
      <c r="G42" s="245" t="e">
        <f ca="1">IF(P42&lt;&gt;"",IF(OR(input_idealSpringRate&gt;_SpringData_L0!E42,input_idealSpringRate&lt;_SpringData_L0!$D$4),"n",IF(AND(input_idealSpringRate&lt;_SpringData_L0!E42,input_idealSpringRate&gt;_SpringData_L0!D42*$B$12),"y","n")),"")</f>
        <v>#DIV/0!</v>
      </c>
      <c r="H42" s="245">
        <v>31</v>
      </c>
      <c r="I42" s="245" t="s">
        <v>897</v>
      </c>
      <c r="J42" s="245">
        <v>1.6</v>
      </c>
      <c r="K42" s="245">
        <f t="shared" si="10"/>
        <v>20.6</v>
      </c>
      <c r="L42" s="245">
        <v>13</v>
      </c>
      <c r="M42" s="245">
        <v>188</v>
      </c>
      <c r="N42" s="245">
        <v>36</v>
      </c>
      <c r="O42" s="245">
        <f t="shared" si="11"/>
        <v>1.1676265234455694</v>
      </c>
      <c r="P42" s="245">
        <f t="shared" si="12"/>
        <v>3.2434070095710262E-2</v>
      </c>
      <c r="Q42" s="245">
        <f t="shared" si="13"/>
        <v>2903.6489514307368</v>
      </c>
      <c r="R42" s="560" cm="1">
        <f t="array" aca="1" ref="R42" ca="1">_xlfn.XLOOKUP(I42,T_minESABlindWidth[Description],INDIRECT(_xlfn.CONCAT("T_minESABlindWidth[",i_idler,"]")))</f>
        <v>1010</v>
      </c>
      <c r="S42" s="245">
        <f t="shared" ca="1" si="14"/>
        <v>1.01</v>
      </c>
      <c r="T42" s="245">
        <v>6.1670523545582085</v>
      </c>
      <c r="U42" s="606" t="str">
        <f t="shared" ca="1" si="9"/>
        <v/>
      </c>
      <c r="V42" s="245" t="s">
        <v>887</v>
      </c>
      <c r="W42" s="245"/>
      <c r="X42" s="245"/>
      <c r="Y42" s="245"/>
      <c r="Z42" s="245"/>
      <c r="AA42" s="245"/>
    </row>
    <row r="43" spans="4:27">
      <c r="D43" s="245">
        <f t="shared" si="16"/>
        <v>1.1513279906006592E-2</v>
      </c>
      <c r="E43" s="245">
        <f t="shared" si="17"/>
        <v>3.4076016640268693E-2</v>
      </c>
      <c r="F43" s="245" t="e">
        <f t="shared" ca="1" si="19"/>
        <v>#DIV/0!</v>
      </c>
      <c r="G43" s="245" t="e">
        <f ca="1">IF(P43&lt;&gt;"",IF(OR(input_idealSpringRate&gt;_SpringData_L0!E43,input_idealSpringRate&lt;_SpringData_L0!$D$4),"n",IF(AND(input_idealSpringRate&lt;_SpringData_L0!E43,input_idealSpringRate&gt;_SpringData_L0!D43*$B$12),"y","n")),"")</f>
        <v>#DIV/0!</v>
      </c>
      <c r="H43" s="245">
        <v>67</v>
      </c>
      <c r="I43" s="245" t="s">
        <v>902</v>
      </c>
      <c r="J43" s="245">
        <v>1.8</v>
      </c>
      <c r="K43" s="245">
        <f t="shared" si="10"/>
        <v>20.8</v>
      </c>
      <c r="L43" s="245">
        <v>24</v>
      </c>
      <c r="M43" s="245">
        <v>290</v>
      </c>
      <c r="N43" s="245">
        <v>37</v>
      </c>
      <c r="O43" s="245">
        <f t="shared" si="11"/>
        <v>1.2341757294429709</v>
      </c>
      <c r="P43" s="245">
        <f t="shared" si="12"/>
        <v>3.3356100795755975E-2</v>
      </c>
      <c r="Q43" s="245">
        <f t="shared" si="13"/>
        <v>2155.5573990111875</v>
      </c>
      <c r="R43" s="560" cm="1">
        <f t="array" aca="1" ref="R43" ca="1">_xlfn.XLOOKUP(I43,T_minESABlindWidth[Description],INDIRECT(_xlfn.CONCAT("T_minESABlindWidth[",i_idler,"]")))</f>
        <v>1110</v>
      </c>
      <c r="S43" s="245">
        <f t="shared" ca="1" si="14"/>
        <v>1.1100000000000001</v>
      </c>
      <c r="T43" s="245">
        <v>6.5185452585812875</v>
      </c>
      <c r="U43" s="606" t="str">
        <f t="shared" ca="1" si="9"/>
        <v/>
      </c>
      <c r="V43" s="245" t="s">
        <v>887</v>
      </c>
      <c r="W43" s="245"/>
      <c r="X43" s="245"/>
      <c r="Y43" s="245"/>
      <c r="Z43" s="245"/>
      <c r="AA43" s="245"/>
    </row>
    <row r="44" spans="4:27">
      <c r="D44" s="245">
        <f t="shared" si="16"/>
        <v>1.1926605824094041E-2</v>
      </c>
      <c r="E44" s="245">
        <f t="shared" si="17"/>
        <v>3.4919820202142224E-2</v>
      </c>
      <c r="F44" s="245" t="e">
        <f t="shared" ca="1" si="19"/>
        <v>#DIV/0!</v>
      </c>
      <c r="G44" s="245" t="e">
        <f ca="1">IF(P44&lt;&gt;"",IF(OR(input_idealSpringRate&gt;_SpringData_L0!E44,input_idealSpringRate&lt;_SpringData_L0!$D$4),"n",IF(AND(input_idealSpringRate&lt;_SpringData_L0!E44,input_idealSpringRate&gt;_SpringData_L0!D44*$B$12),"y","n")),"")</f>
        <v>#DIV/0!</v>
      </c>
      <c r="H44" s="245">
        <v>66</v>
      </c>
      <c r="I44" s="245" t="s">
        <v>902</v>
      </c>
      <c r="J44" s="245">
        <v>1.8</v>
      </c>
      <c r="K44" s="245">
        <f t="shared" si="10"/>
        <v>20.8</v>
      </c>
      <c r="L44" s="245">
        <v>23</v>
      </c>
      <c r="M44" s="245">
        <v>278</v>
      </c>
      <c r="N44" s="245">
        <v>34</v>
      </c>
      <c r="O44" s="245">
        <f t="shared" si="11"/>
        <v>1.183061704482568</v>
      </c>
      <c r="P44" s="245">
        <f t="shared" si="12"/>
        <v>3.4795932484781411E-2</v>
      </c>
      <c r="Q44" s="245">
        <f t="shared" si="13"/>
        <v>2066.2838765555425</v>
      </c>
      <c r="R44" s="560" cm="1">
        <f t="array" aca="1" ref="R44" ca="1">_xlfn.XLOOKUP(I44,T_minESABlindWidth[Description],INDIRECT(_xlfn.CONCAT("T_minESABlindWidth[",i_idler,"]")))</f>
        <v>1110</v>
      </c>
      <c r="S44" s="245">
        <f t="shared" ca="1" si="14"/>
        <v>1.1100000000000001</v>
      </c>
      <c r="T44" s="245">
        <v>6.2485763415916287</v>
      </c>
      <c r="U44" s="606" t="str">
        <f t="shared" ca="1" si="9"/>
        <v/>
      </c>
      <c r="V44" s="245" t="s">
        <v>887</v>
      </c>
      <c r="W44" s="245"/>
      <c r="X44" s="245"/>
      <c r="Y44" s="245"/>
      <c r="Z44" s="245"/>
      <c r="AA44" s="245"/>
    </row>
    <row r="45" spans="4:27">
      <c r="D45" s="245">
        <f t="shared" si="16"/>
        <v>1.2221937070749778E-2</v>
      </c>
      <c r="E45" s="245">
        <f t="shared" si="17"/>
        <v>3.5704690859693688E-2</v>
      </c>
      <c r="F45" s="245" t="e">
        <f t="shared" ca="1" si="19"/>
        <v>#DIV/0!</v>
      </c>
      <c r="G45" s="245" t="e">
        <f ca="1">IF(P45&lt;&gt;"",IF(OR(input_idealSpringRate&gt;_SpringData_L0!E45,input_idealSpringRate&lt;_SpringData_L0!$D$4),"n",IF(AND(input_idealSpringRate&lt;_SpringData_L0!E45,input_idealSpringRate&gt;_SpringData_L0!D45*$B$12),"y","n")),"")</f>
        <v>#DIV/0!</v>
      </c>
      <c r="H45" s="245">
        <v>30</v>
      </c>
      <c r="I45" s="245" t="s">
        <v>897</v>
      </c>
      <c r="J45" s="245">
        <v>1.6</v>
      </c>
      <c r="K45" s="245">
        <f t="shared" si="10"/>
        <v>20.6</v>
      </c>
      <c r="L45" s="245">
        <v>12</v>
      </c>
      <c r="M45" s="245">
        <v>174</v>
      </c>
      <c r="N45" s="245">
        <v>34</v>
      </c>
      <c r="O45" s="245">
        <f t="shared" si="11"/>
        <v>1.1914860692631033</v>
      </c>
      <c r="P45" s="245">
        <f t="shared" si="12"/>
        <v>3.5043707919503037E-2</v>
      </c>
      <c r="Q45" s="245">
        <f t="shared" si="13"/>
        <v>2962.9827741930503</v>
      </c>
      <c r="R45" s="560" cm="1">
        <f t="array" aca="1" ref="R45" ca="1">_xlfn.XLOOKUP(I45,T_minESABlindWidth[Description],INDIRECT(_xlfn.CONCAT("T_minESABlindWidth[",i_idler,"]")))</f>
        <v>1010</v>
      </c>
      <c r="S45" s="245">
        <f t="shared" ca="1" si="14"/>
        <v>1.01</v>
      </c>
      <c r="T45" s="245">
        <v>6.2930713043320665</v>
      </c>
      <c r="U45" s="606" t="str">
        <f t="shared" ca="1" si="9"/>
        <v/>
      </c>
      <c r="V45" s="245" t="s">
        <v>887</v>
      </c>
      <c r="W45" s="245"/>
      <c r="X45" s="245"/>
      <c r="Y45" s="245"/>
      <c r="Z45" s="245"/>
      <c r="AA45" s="245"/>
    </row>
    <row r="46" spans="4:27">
      <c r="D46" s="245">
        <f t="shared" si="16"/>
        <v>1.2496641800892791E-2</v>
      </c>
      <c r="E46" s="245">
        <f t="shared" si="17"/>
        <v>3.7224705464448532E-2</v>
      </c>
      <c r="F46" s="245" t="e">
        <f t="shared" ref="F46:F77" ca="1" si="20">IF(G46&lt;&gt;"",IF(islandFilter_option="yes",IF(AND(MATCH(I46,list_boosterDescription,0)&gt;=MATCH(islandfilter_colMax,list_boosterIndex,0),MATCH(I46,list_boosterDescription,0)&gt;=MATCH(islandfilter_rowMax,list_boosterIndex,0)),"y",""),"y"),"")</f>
        <v>#DIV/0!</v>
      </c>
      <c r="G46" s="245" t="e">
        <f ca="1">IF(P46&lt;&gt;"",IF(OR(input_idealSpringRate&gt;_SpringData_L0!E46,input_idealSpringRate&lt;_SpringData_L0!$D$4),"n",IF(AND(input_idealSpringRate&lt;_SpringData_L0!E46,input_idealSpringRate&gt;_SpringData_L0!D46*$B$12),"y","n")),"")</f>
        <v>#DIV/0!</v>
      </c>
      <c r="H46" s="245">
        <v>65</v>
      </c>
      <c r="I46" s="245" t="s">
        <v>902</v>
      </c>
      <c r="J46" s="245">
        <v>1.8</v>
      </c>
      <c r="K46" s="245">
        <f t="shared" si="10"/>
        <v>20.8</v>
      </c>
      <c r="L46" s="245">
        <v>22</v>
      </c>
      <c r="M46" s="245">
        <v>266</v>
      </c>
      <c r="N46" s="245">
        <v>39</v>
      </c>
      <c r="O46" s="245">
        <f t="shared" si="11"/>
        <v>1.4182612781954891</v>
      </c>
      <c r="P46" s="245">
        <f t="shared" si="12"/>
        <v>3.6365673799884334E-2</v>
      </c>
      <c r="Q46" s="245">
        <f t="shared" si="13"/>
        <v>2477.0731744377699</v>
      </c>
      <c r="R46" s="560" cm="1">
        <f t="array" aca="1" ref="R46" ca="1">_xlfn.XLOOKUP(I46,T_minESABlindWidth[Description],INDIRECT(_xlfn.CONCAT("T_minESABlindWidth[",i_idler,"]")))</f>
        <v>1110</v>
      </c>
      <c r="S46" s="245">
        <f t="shared" ca="1" si="14"/>
        <v>1.1100000000000001</v>
      </c>
      <c r="T46" s="245">
        <v>7.4908297982680718</v>
      </c>
      <c r="U46" s="606" t="str">
        <f t="shared" ca="1" si="9"/>
        <v/>
      </c>
      <c r="V46" s="245" t="s">
        <v>887</v>
      </c>
      <c r="W46" s="245"/>
      <c r="X46" s="245"/>
      <c r="Y46" s="245"/>
      <c r="Z46" s="245"/>
      <c r="AA46" s="245"/>
    </row>
    <row r="47" spans="4:27">
      <c r="D47" s="245">
        <f t="shared" si="16"/>
        <v>1.3028646912556986E-2</v>
      </c>
      <c r="E47" s="245">
        <f t="shared" si="17"/>
        <v>3.8096884745736151E-2</v>
      </c>
      <c r="F47" s="245" t="e">
        <f t="shared" ca="1" si="20"/>
        <v>#DIV/0!</v>
      </c>
      <c r="G47" s="245" t="e">
        <f ca="1">IF(P47&lt;&gt;"",IF(OR(input_idealSpringRate&gt;_SpringData_L0!E47,input_idealSpringRate&lt;_SpringData_L0!$D$4),"n",IF(AND(input_idealSpringRate&lt;_SpringData_L0!E47,input_idealSpringRate&gt;_SpringData_L0!D47*$B$12),"y","n")),"")</f>
        <v>#DIV/0!</v>
      </c>
      <c r="H47" s="245">
        <v>64</v>
      </c>
      <c r="I47" s="245" t="s">
        <v>902</v>
      </c>
      <c r="J47" s="245">
        <v>1.8</v>
      </c>
      <c r="K47" s="245">
        <f t="shared" si="10"/>
        <v>20.8</v>
      </c>
      <c r="L47" s="245">
        <v>21</v>
      </c>
      <c r="M47" s="245">
        <v>254</v>
      </c>
      <c r="N47" s="245">
        <v>39</v>
      </c>
      <c r="O47" s="245">
        <f t="shared" si="11"/>
        <v>1.4852657480314964</v>
      </c>
      <c r="P47" s="245">
        <f t="shared" si="12"/>
        <v>3.8083737129012731E-2</v>
      </c>
      <c r="Q47" s="245">
        <f t="shared" si="13"/>
        <v>2594.1002535450662</v>
      </c>
      <c r="R47" s="560" cm="1">
        <f t="array" aca="1" ref="R47" ca="1">_xlfn.XLOOKUP(I47,T_minESABlindWidth[Description],INDIRECT(_xlfn.CONCAT("T_minESABlindWidth[",i_idler,"]")))</f>
        <v>1110</v>
      </c>
      <c r="S47" s="245">
        <f t="shared" ca="1" si="14"/>
        <v>1.1100000000000001</v>
      </c>
      <c r="T47" s="245">
        <v>7.8447272690523908</v>
      </c>
      <c r="U47" s="606" t="str">
        <f t="shared" ca="1" si="9"/>
        <v/>
      </c>
      <c r="V47" s="245" t="s">
        <v>887</v>
      </c>
      <c r="W47" s="245"/>
      <c r="X47" s="245"/>
      <c r="Y47" s="245"/>
      <c r="Z47" s="245"/>
      <c r="AA47" s="245"/>
    </row>
    <row r="48" spans="4:27">
      <c r="D48" s="245">
        <f t="shared" si="16"/>
        <v>1.3333909661007653E-2</v>
      </c>
      <c r="E48" s="245">
        <f t="shared" si="17"/>
        <v>3.9041109633232332E-2</v>
      </c>
      <c r="F48" s="245" t="e">
        <f t="shared" ca="1" si="20"/>
        <v>#DIV/0!</v>
      </c>
      <c r="G48" s="245" t="e">
        <f ca="1">IF(P48&lt;&gt;"",IF(OR(input_idealSpringRate&gt;_SpringData_L0!E48,input_idealSpringRate&lt;_SpringData_L0!$D$4),"n",IF(AND(input_idealSpringRate&lt;_SpringData_L0!E48,input_idealSpringRate&gt;_SpringData_L0!D48*$B$12),"y","n")),"")</f>
        <v>#DIV/0!</v>
      </c>
      <c r="H48" s="245">
        <v>29</v>
      </c>
      <c r="I48" s="245" t="s">
        <v>897</v>
      </c>
      <c r="J48" s="245">
        <v>1.6</v>
      </c>
      <c r="K48" s="245">
        <f t="shared" si="10"/>
        <v>20.6</v>
      </c>
      <c r="L48" s="245">
        <v>11</v>
      </c>
      <c r="M48" s="245">
        <v>160</v>
      </c>
      <c r="N48" s="245">
        <v>30</v>
      </c>
      <c r="O48" s="245">
        <f t="shared" si="11"/>
        <v>1.1433009708737871</v>
      </c>
      <c r="P48" s="245">
        <f t="shared" si="12"/>
        <v>3.8110032362459571E-2</v>
      </c>
      <c r="Q48" s="245">
        <f t="shared" si="13"/>
        <v>2843.1562649425973</v>
      </c>
      <c r="R48" s="560" cm="1">
        <f t="array" aca="1" ref="R48" ca="1">_xlfn.XLOOKUP(I48,T_minESABlindWidth[Description],INDIRECT(_xlfn.CONCAT("T_minESABlindWidth[",i_idler,"]")))</f>
        <v>1010</v>
      </c>
      <c r="S48" s="245">
        <f t="shared" ca="1" si="14"/>
        <v>1.01</v>
      </c>
      <c r="T48" s="245">
        <v>6.0385720971715813</v>
      </c>
      <c r="U48" s="606" t="str">
        <f t="shared" ca="1" si="9"/>
        <v/>
      </c>
      <c r="V48" s="245" t="s">
        <v>887</v>
      </c>
      <c r="W48" s="245"/>
      <c r="X48" s="245"/>
      <c r="Y48" s="245"/>
      <c r="Z48" s="245"/>
      <c r="AA48" s="245"/>
    </row>
    <row r="49" spans="4:27">
      <c r="D49" s="245">
        <f t="shared" si="16"/>
        <v>1.3664388371631316E-2</v>
      </c>
      <c r="E49" s="245">
        <f t="shared" si="17"/>
        <v>4.0868302965679018E-2</v>
      </c>
      <c r="F49" s="245" t="e">
        <f t="shared" ca="1" si="20"/>
        <v>#DIV/0!</v>
      </c>
      <c r="G49" s="245" t="e">
        <f ca="1">IF(P49&lt;&gt;"",IF(OR(input_idealSpringRate&gt;_SpringData_L0!E49,input_idealSpringRate&lt;_SpringData_L0!$D$4),"n",IF(AND(input_idealSpringRate&lt;_SpringData_L0!E49,input_idealSpringRate&gt;_SpringData_L0!D49*$B$12),"y","n")),"")</f>
        <v>#DIV/0!</v>
      </c>
      <c r="H49" s="245">
        <v>63</v>
      </c>
      <c r="I49" s="245" t="s">
        <v>902</v>
      </c>
      <c r="J49" s="245">
        <v>1.8</v>
      </c>
      <c r="K49" s="245">
        <f t="shared" si="10"/>
        <v>20.8</v>
      </c>
      <c r="L49" s="245">
        <v>20</v>
      </c>
      <c r="M49" s="245">
        <v>242</v>
      </c>
      <c r="N49" s="245">
        <v>36</v>
      </c>
      <c r="O49" s="245">
        <f t="shared" si="11"/>
        <v>1.438998728544183</v>
      </c>
      <c r="P49" s="245">
        <f t="shared" si="12"/>
        <v>3.9972186904005086E-2</v>
      </c>
      <c r="Q49" s="245">
        <f t="shared" si="13"/>
        <v>2513.292299048112</v>
      </c>
      <c r="R49" s="560" cm="1">
        <f t="array" aca="1" ref="R49" ca="1">_xlfn.XLOOKUP(I49,T_minESABlindWidth[Description],INDIRECT(_xlfn.CONCAT("T_minESABlindWidth[",i_idler,"]")))</f>
        <v>1110</v>
      </c>
      <c r="S49" s="245">
        <f t="shared" ca="1" si="14"/>
        <v>1.1100000000000001</v>
      </c>
      <c r="T49" s="245">
        <v>7.6003587781537449</v>
      </c>
      <c r="U49" s="606" t="str">
        <f t="shared" ca="1" si="9"/>
        <v/>
      </c>
      <c r="V49" s="245" t="s">
        <v>887</v>
      </c>
      <c r="W49" s="245"/>
      <c r="X49" s="245"/>
      <c r="Y49" s="245"/>
      <c r="Z49" s="245"/>
      <c r="AA49" s="245"/>
    </row>
    <row r="50" spans="4:27">
      <c r="D50" s="245">
        <f t="shared" si="16"/>
        <v>1.4303906037987655E-2</v>
      </c>
      <c r="E50" s="245">
        <f t="shared" si="17"/>
        <v>4.1820021701488672E-2</v>
      </c>
      <c r="F50" s="245" t="e">
        <f t="shared" ca="1" si="20"/>
        <v>#DIV/0!</v>
      </c>
      <c r="G50" s="245" t="e">
        <f ca="1">IF(P50&lt;&gt;"",IF(OR(input_idealSpringRate&gt;_SpringData_L0!E50,input_idealSpringRate&lt;_SpringData_L0!$D$4),"n",IF(AND(input_idealSpringRate&lt;_SpringData_L0!E50,input_idealSpringRate&gt;_SpringData_L0!D50*$B$12),"y","n")),"")</f>
        <v>#DIV/0!</v>
      </c>
      <c r="H50" s="245">
        <v>28</v>
      </c>
      <c r="I50" s="245" t="s">
        <v>897</v>
      </c>
      <c r="J50" s="245">
        <v>1.6</v>
      </c>
      <c r="K50" s="245">
        <f t="shared" si="10"/>
        <v>20.6</v>
      </c>
      <c r="L50" s="245">
        <v>10</v>
      </c>
      <c r="M50" s="245">
        <v>146</v>
      </c>
      <c r="N50" s="245">
        <v>27</v>
      </c>
      <c r="O50" s="245">
        <f t="shared" si="11"/>
        <v>1.1276393137385297</v>
      </c>
      <c r="P50" s="245">
        <f t="shared" si="12"/>
        <v>4.176441902735295E-2</v>
      </c>
      <c r="Q50" s="245">
        <f t="shared" si="13"/>
        <v>2804.2089188474934</v>
      </c>
      <c r="R50" s="560" cm="1">
        <f t="array" aca="1" ref="R50" ca="1">_xlfn.XLOOKUP(I50,T_minESABlindWidth[Description],INDIRECT(_xlfn.CONCAT("T_minESABlindWidth[",i_idler,"]")))</f>
        <v>1010</v>
      </c>
      <c r="S50" s="245">
        <f t="shared" ca="1" si="14"/>
        <v>1.01</v>
      </c>
      <c r="T50" s="245">
        <v>5.9558519314569018</v>
      </c>
      <c r="U50" s="606" t="str">
        <f t="shared" ca="1" si="9"/>
        <v/>
      </c>
      <c r="V50" s="245" t="s">
        <v>887</v>
      </c>
      <c r="W50" s="245"/>
      <c r="X50" s="245"/>
      <c r="Y50" s="245"/>
      <c r="Z50" s="245"/>
      <c r="AA50" s="245"/>
    </row>
    <row r="51" spans="4:27">
      <c r="D51" s="245">
        <f t="shared" si="16"/>
        <v>1.4637007595521034E-2</v>
      </c>
      <c r="E51" s="245">
        <f t="shared" si="17"/>
        <v>4.3022901755778477E-2</v>
      </c>
      <c r="F51" s="245" t="e">
        <f t="shared" ca="1" si="20"/>
        <v>#DIV/0!</v>
      </c>
      <c r="G51" s="245" t="e">
        <f ca="1">IF(P51&lt;&gt;"",IF(OR(input_idealSpringRate&gt;_SpringData_L0!E51,input_idealSpringRate&lt;_SpringData_L0!$D$4),"n",IF(AND(input_idealSpringRate&lt;_SpringData_L0!E51,input_idealSpringRate&gt;_SpringData_L0!D51*$B$12),"y","n")),"")</f>
        <v>#DIV/0!</v>
      </c>
      <c r="H51" s="245">
        <v>62</v>
      </c>
      <c r="I51" s="245" t="s">
        <v>902</v>
      </c>
      <c r="J51" s="245">
        <v>1.8</v>
      </c>
      <c r="K51" s="245">
        <f t="shared" si="10"/>
        <v>20.8</v>
      </c>
      <c r="L51" s="245">
        <v>19</v>
      </c>
      <c r="M51" s="245">
        <v>231</v>
      </c>
      <c r="N51" s="245">
        <v>35</v>
      </c>
      <c r="O51" s="245">
        <f t="shared" si="11"/>
        <v>1.4656468531468536</v>
      </c>
      <c r="P51" s="245">
        <f t="shared" si="12"/>
        <v>4.1875624375624386E-2</v>
      </c>
      <c r="Q51" s="245">
        <f t="shared" si="13"/>
        <v>2559.834749030485</v>
      </c>
      <c r="R51" s="560" cm="1">
        <f t="array" aca="1" ref="R51" ca="1">_xlfn.XLOOKUP(I51,T_minESABlindWidth[Description],INDIRECT(_xlfn.CONCAT("T_minESABlindWidth[",i_idler,"]")))</f>
        <v>1110</v>
      </c>
      <c r="S51" s="245">
        <f t="shared" ca="1" si="14"/>
        <v>1.1100000000000001</v>
      </c>
      <c r="T51" s="245">
        <v>7.7411061629343711</v>
      </c>
      <c r="U51" s="606" t="str">
        <f t="shared" ca="1" si="9"/>
        <v/>
      </c>
      <c r="V51" s="245" t="s">
        <v>887</v>
      </c>
      <c r="W51" s="245"/>
      <c r="X51" s="245"/>
      <c r="Y51" s="245"/>
      <c r="Z51" s="245"/>
      <c r="AA51" s="245"/>
    </row>
    <row r="52" spans="4:27">
      <c r="D52" s="245">
        <f t="shared" si="16"/>
        <v>1.5058015614522465E-2</v>
      </c>
      <c r="E52" s="245">
        <f t="shared" si="17"/>
        <v>4.5008417304784068E-2</v>
      </c>
      <c r="F52" s="245" t="e">
        <f t="shared" ca="1" si="20"/>
        <v>#DIV/0!</v>
      </c>
      <c r="G52" s="245" t="e">
        <f ca="1">IF(P52&lt;&gt;"",IF(OR(input_idealSpringRate&gt;_SpringData_L0!E52,input_idealSpringRate&lt;_SpringData_L0!$D$4),"n",IF(AND(input_idealSpringRate&lt;_SpringData_L0!E52,input_idealSpringRate&gt;_SpringData_L0!D52*$B$12),"y","n")),"")</f>
        <v>#DIV/0!</v>
      </c>
      <c r="H52" s="245">
        <v>61</v>
      </c>
      <c r="I52" s="245" t="s">
        <v>902</v>
      </c>
      <c r="J52" s="245">
        <v>1.8</v>
      </c>
      <c r="K52" s="245">
        <f t="shared" si="10"/>
        <v>20.8</v>
      </c>
      <c r="L52" s="245">
        <v>18</v>
      </c>
      <c r="M52" s="245">
        <v>219</v>
      </c>
      <c r="N52" s="245">
        <v>34</v>
      </c>
      <c r="O52" s="245">
        <f t="shared" si="11"/>
        <v>1.5017860906217073</v>
      </c>
      <c r="P52" s="245">
        <f t="shared" si="12"/>
        <v>4.4170179135932568E-2</v>
      </c>
      <c r="Q52" s="245">
        <f t="shared" si="13"/>
        <v>2622.9539620202772</v>
      </c>
      <c r="R52" s="560" cm="1">
        <f t="array" aca="1" ref="R52" ca="1">_xlfn.XLOOKUP(I52,T_minESABlindWidth[Description],INDIRECT(_xlfn.CONCAT("T_minESABlindWidth[",i_idler,"]")))</f>
        <v>1110</v>
      </c>
      <c r="S52" s="245">
        <f t="shared" ca="1" si="14"/>
        <v>1.1100000000000001</v>
      </c>
      <c r="T52" s="245">
        <v>7.9319827532533003</v>
      </c>
      <c r="U52" s="606" t="str">
        <f t="shared" ca="1" si="9"/>
        <v/>
      </c>
      <c r="V52" s="245" t="s">
        <v>887</v>
      </c>
      <c r="W52" s="245"/>
      <c r="X52" s="245"/>
      <c r="Y52" s="245"/>
      <c r="Z52" s="245"/>
      <c r="AA52" s="245"/>
    </row>
    <row r="53" spans="4:27">
      <c r="D53" s="245">
        <f t="shared" si="16"/>
        <v>1.5752946056674422E-2</v>
      </c>
      <c r="E53" s="245">
        <f t="shared" si="17"/>
        <v>4.6288712352202402E-2</v>
      </c>
      <c r="F53" s="245" t="e">
        <f t="shared" ca="1" si="20"/>
        <v>#DIV/0!</v>
      </c>
      <c r="G53" s="245" t="e">
        <f ca="1">IF(P53&lt;&gt;"",IF(OR(input_idealSpringRate&gt;_SpringData_L0!E53,input_idealSpringRate&lt;_SpringData_L0!$D$4),"n",IF(AND(input_idealSpringRate&lt;_SpringData_L0!E53,input_idealSpringRate&gt;_SpringData_L0!D53*$B$12),"y","n")),"")</f>
        <v>#DIV/0!</v>
      </c>
      <c r="H53" s="245">
        <v>27</v>
      </c>
      <c r="I53" s="245" t="s">
        <v>897</v>
      </c>
      <c r="J53" s="245">
        <v>1.6</v>
      </c>
      <c r="K53" s="245">
        <f t="shared" si="10"/>
        <v>20.6</v>
      </c>
      <c r="L53" s="245">
        <v>9</v>
      </c>
      <c r="M53" s="245">
        <v>133</v>
      </c>
      <c r="N53" s="245">
        <v>24</v>
      </c>
      <c r="O53" s="245">
        <f t="shared" si="11"/>
        <v>1.1003197313672535</v>
      </c>
      <c r="P53" s="245">
        <f t="shared" si="12"/>
        <v>4.5846655473635561E-2</v>
      </c>
      <c r="Q53" s="245">
        <f t="shared" si="13"/>
        <v>2736.2706910725747</v>
      </c>
      <c r="R53" s="560" cm="1">
        <f t="array" aca="1" ref="R53" ca="1">_xlfn.XLOOKUP(I53,T_minESABlindWidth[Description],INDIRECT(_xlfn.CONCAT("T_minESABlindWidth[",i_idler,"]")))</f>
        <v>1010</v>
      </c>
      <c r="S53" s="245">
        <f t="shared" ca="1" si="14"/>
        <v>1.01</v>
      </c>
      <c r="T53" s="245">
        <v>5.811558108556107</v>
      </c>
      <c r="U53" s="606" t="str">
        <f t="shared" ca="1" si="9"/>
        <v/>
      </c>
      <c r="V53" s="245" t="s">
        <v>887</v>
      </c>
      <c r="W53" s="245"/>
      <c r="X53" s="245"/>
      <c r="Y53" s="245"/>
      <c r="Z53" s="245"/>
      <c r="AA53" s="245"/>
    </row>
    <row r="54" spans="4:27">
      <c r="D54" s="245">
        <f t="shared" si="16"/>
        <v>1.6201049323270839E-2</v>
      </c>
      <c r="E54" s="245">
        <f t="shared" si="17"/>
        <v>4.8168639053254442E-2</v>
      </c>
      <c r="F54" s="245" t="e">
        <f t="shared" ca="1" si="20"/>
        <v>#DIV/0!</v>
      </c>
      <c r="G54" s="245" t="e">
        <f ca="1">IF(P54&lt;&gt;"",IF(OR(input_idealSpringRate&gt;_SpringData_L0!E54,input_idealSpringRate&lt;_SpringData_L0!$D$4),"n",IF(AND(input_idealSpringRate&lt;_SpringData_L0!E54,input_idealSpringRate&gt;_SpringData_L0!D54*$B$12),"y","n")),"")</f>
        <v>#DIV/0!</v>
      </c>
      <c r="H54" s="245">
        <v>60</v>
      </c>
      <c r="I54" s="245" t="s">
        <v>902</v>
      </c>
      <c r="J54" s="245">
        <v>1.8</v>
      </c>
      <c r="K54" s="245">
        <f t="shared" si="10"/>
        <v>20.8</v>
      </c>
      <c r="L54" s="245">
        <v>17</v>
      </c>
      <c r="M54" s="245">
        <v>207</v>
      </c>
      <c r="N54" s="245">
        <v>33</v>
      </c>
      <c r="O54" s="245">
        <f t="shared" si="11"/>
        <v>1.5421153846153848</v>
      </c>
      <c r="P54" s="245">
        <f t="shared" si="12"/>
        <v>4.6730769230769235E-2</v>
      </c>
      <c r="Q54" s="245">
        <f t="shared" si="13"/>
        <v>2693.3913446320753</v>
      </c>
      <c r="R54" s="560" cm="1">
        <f t="array" aca="1" ref="R54" ca="1">_xlfn.XLOOKUP(I54,T_minESABlindWidth[Description],INDIRECT(_xlfn.CONCAT("T_minESABlindWidth[",i_idler,"]")))</f>
        <v>1110</v>
      </c>
      <c r="S54" s="245">
        <f t="shared" ca="1" si="14"/>
        <v>1.1100000000000001</v>
      </c>
      <c r="T54" s="245">
        <v>8.1449899627396416</v>
      </c>
      <c r="U54" s="606" t="str">
        <f t="shared" ca="1" si="9"/>
        <v/>
      </c>
      <c r="V54" s="245" t="s">
        <v>887</v>
      </c>
      <c r="W54" s="245"/>
      <c r="X54" s="245"/>
      <c r="Y54" s="245"/>
      <c r="Z54" s="245"/>
      <c r="AA54" s="245"/>
    </row>
    <row r="55" spans="4:27">
      <c r="D55" s="245">
        <f t="shared" si="16"/>
        <v>1.6859023668639055E-2</v>
      </c>
      <c r="E55" s="245">
        <f t="shared" si="17"/>
        <v>5.0423444261372054E-2</v>
      </c>
      <c r="F55" s="245" t="e">
        <f t="shared" ca="1" si="20"/>
        <v>#DIV/0!</v>
      </c>
      <c r="G55" s="245" t="e">
        <f ca="1">IF(P55&lt;&gt;"",IF(OR(input_idealSpringRate&gt;_SpringData_L0!E55,input_idealSpringRate&lt;_SpringData_L0!$D$4),"n",IF(AND(input_idealSpringRate&lt;_SpringData_L0!E55,input_idealSpringRate&gt;_SpringData_L0!D55*$B$12),"y","n")),"")</f>
        <v>#DIV/0!</v>
      </c>
      <c r="H55" s="245">
        <v>59</v>
      </c>
      <c r="I55" s="245" t="s">
        <v>902</v>
      </c>
      <c r="J55" s="245">
        <v>1.8</v>
      </c>
      <c r="K55" s="245">
        <f t="shared" si="10"/>
        <v>20.8</v>
      </c>
      <c r="L55" s="245">
        <v>16</v>
      </c>
      <c r="M55" s="245">
        <v>195</v>
      </c>
      <c r="N55" s="245">
        <v>31</v>
      </c>
      <c r="O55" s="245">
        <f t="shared" si="11"/>
        <v>1.5378017751479294</v>
      </c>
      <c r="P55" s="245">
        <f t="shared" si="12"/>
        <v>4.9606508875739655E-2</v>
      </c>
      <c r="Q55" s="245">
        <f t="shared" si="13"/>
        <v>2685.8573828289091</v>
      </c>
      <c r="R55" s="560" cm="1">
        <f t="array" aca="1" ref="R55" ca="1">_xlfn.XLOOKUP(I55,T_minESABlindWidth[Description],INDIRECT(_xlfn.CONCAT("T_minESABlindWidth[",i_idler,"]")))</f>
        <v>1110</v>
      </c>
      <c r="S55" s="245">
        <f t="shared" ca="1" si="14"/>
        <v>1.1100000000000001</v>
      </c>
      <c r="T55" s="245">
        <v>8.1222067740326782</v>
      </c>
      <c r="U55" s="606" t="str">
        <f t="shared" ca="1" si="9"/>
        <v/>
      </c>
      <c r="V55" s="245" t="s">
        <v>887</v>
      </c>
      <c r="W55" s="245"/>
      <c r="X55" s="245"/>
      <c r="Y55" s="245"/>
      <c r="Z55" s="245"/>
      <c r="AA55" s="245"/>
    </row>
    <row r="56" spans="4:27">
      <c r="D56" s="245">
        <f t="shared" si="16"/>
        <v>1.7648205491480218E-2</v>
      </c>
      <c r="E56" s="245">
        <f t="shared" si="17"/>
        <v>5.1906247515809925E-2</v>
      </c>
      <c r="F56" s="245" t="e">
        <f t="shared" ca="1" si="20"/>
        <v>#DIV/0!</v>
      </c>
      <c r="G56" s="245" t="e">
        <f ca="1">IF(P56&lt;&gt;"",IF(OR(input_idealSpringRate&gt;_SpringData_L0!E56,input_idealSpringRate&lt;_SpringData_L0!$D$4),"n",IF(AND(input_idealSpringRate&lt;_SpringData_L0!E56,input_idealSpringRate&gt;_SpringData_L0!D56*$B$12),"y","n")),"")</f>
        <v>#DIV/0!</v>
      </c>
      <c r="H56" s="245">
        <v>26</v>
      </c>
      <c r="I56" s="245" t="s">
        <v>897</v>
      </c>
      <c r="J56" s="245">
        <v>1.6</v>
      </c>
      <c r="K56" s="245">
        <f t="shared" si="10"/>
        <v>20.6</v>
      </c>
      <c r="L56" s="245">
        <v>8</v>
      </c>
      <c r="M56" s="245">
        <v>119</v>
      </c>
      <c r="N56" s="245">
        <v>22</v>
      </c>
      <c r="O56" s="245">
        <f t="shared" si="11"/>
        <v>1.127288352234098</v>
      </c>
      <c r="P56" s="245">
        <f t="shared" si="12"/>
        <v>5.1240379647004453E-2</v>
      </c>
      <c r="Q56" s="245">
        <f t="shared" si="13"/>
        <v>2803.3361491870987</v>
      </c>
      <c r="R56" s="560" cm="1">
        <f t="array" aca="1" ref="R56" ca="1">_xlfn.XLOOKUP(I56,T_minESABlindWidth[Description],INDIRECT(_xlfn.CONCAT("T_minESABlindWidth[",i_idler,"]")))</f>
        <v>1010</v>
      </c>
      <c r="S56" s="245">
        <f t="shared" ca="1" si="14"/>
        <v>1.01</v>
      </c>
      <c r="T56" s="245">
        <v>5.9539982582756199</v>
      </c>
      <c r="U56" s="606" t="str">
        <f t="shared" ca="1" si="9"/>
        <v/>
      </c>
      <c r="V56" s="245" t="s">
        <v>887</v>
      </c>
      <c r="W56" s="245"/>
      <c r="X56" s="245"/>
      <c r="Y56" s="245"/>
      <c r="Z56" s="245"/>
      <c r="AA56" s="245"/>
    </row>
    <row r="57" spans="4:27">
      <c r="D57" s="245">
        <f t="shared" si="16"/>
        <v>1.8167186630533471E-2</v>
      </c>
      <c r="E57" s="245">
        <f t="shared" si="17"/>
        <v>5.4406026386404314E-2</v>
      </c>
      <c r="F57" s="245" t="e">
        <f t="shared" ca="1" si="20"/>
        <v>#DIV/0!</v>
      </c>
      <c r="G57" s="245" t="e">
        <f ca="1">IF(P57&lt;&gt;"",IF(OR(input_idealSpringRate&gt;_SpringData_L0!E57,input_idealSpringRate&lt;_SpringData_L0!$D$4),"n",IF(AND(input_idealSpringRate&lt;_SpringData_L0!E57,input_idealSpringRate&gt;_SpringData_L0!D57*$B$12),"y","n")),"")</f>
        <v>#DIV/0!</v>
      </c>
      <c r="H57" s="245">
        <v>58</v>
      </c>
      <c r="I57" s="245" t="s">
        <v>902</v>
      </c>
      <c r="J57" s="245">
        <v>1.8</v>
      </c>
      <c r="K57" s="245">
        <f t="shared" si="10"/>
        <v>20.8</v>
      </c>
      <c r="L57" s="245">
        <v>15</v>
      </c>
      <c r="M57" s="245">
        <v>184</v>
      </c>
      <c r="N57" s="245">
        <v>29</v>
      </c>
      <c r="O57" s="245">
        <f t="shared" si="11"/>
        <v>1.5245913461538467</v>
      </c>
      <c r="P57" s="245">
        <f t="shared" si="12"/>
        <v>5.2572115384615405E-2</v>
      </c>
      <c r="Q57" s="245">
        <f t="shared" si="13"/>
        <v>2662.7846248067112</v>
      </c>
      <c r="R57" s="560" cm="1">
        <f t="array" aca="1" ref="R57" ca="1">_xlfn.XLOOKUP(I57,T_minESABlindWidth[Description],INDIRECT(_xlfn.CONCAT("T_minESABlindWidth[",i_idler,"]")))</f>
        <v>1110</v>
      </c>
      <c r="S57" s="245">
        <f t="shared" ca="1" si="14"/>
        <v>1.1100000000000001</v>
      </c>
      <c r="T57" s="245">
        <v>8.0524332586176026</v>
      </c>
      <c r="U57" s="606" t="str">
        <f t="shared" ca="1" si="9"/>
        <v/>
      </c>
      <c r="V57" s="245" t="s">
        <v>887</v>
      </c>
      <c r="W57" s="245"/>
      <c r="X57" s="245"/>
      <c r="Y57" s="245"/>
      <c r="Z57" s="245"/>
      <c r="AA57" s="245"/>
    </row>
    <row r="58" spans="4:27">
      <c r="D58" s="245">
        <f t="shared" si="16"/>
        <v>1.9042109235241508E-2</v>
      </c>
      <c r="E58" s="245">
        <f t="shared" si="17"/>
        <v>5.7156183827399142E-2</v>
      </c>
      <c r="F58" s="245" t="e">
        <f t="shared" ca="1" si="20"/>
        <v>#DIV/0!</v>
      </c>
      <c r="G58" s="245" t="e">
        <f ca="1">IF(P58&lt;&gt;"",IF(OR(input_idealSpringRate&gt;_SpringData_L0!E58,input_idealSpringRate&lt;_SpringData_L0!$D$4),"n",IF(AND(input_idealSpringRate&lt;_SpringData_L0!E58,input_idealSpringRate&gt;_SpringData_L0!D58*$B$12),"y","n")),"")</f>
        <v>#DIV/0!</v>
      </c>
      <c r="H58" s="245">
        <v>57</v>
      </c>
      <c r="I58" s="245" t="s">
        <v>902</v>
      </c>
      <c r="J58" s="245">
        <v>1.8</v>
      </c>
      <c r="K58" s="245">
        <f t="shared" si="10"/>
        <v>20.8</v>
      </c>
      <c r="L58" s="245">
        <v>14</v>
      </c>
      <c r="M58" s="245">
        <v>172</v>
      </c>
      <c r="N58" s="245">
        <v>27</v>
      </c>
      <c r="O58" s="245">
        <f t="shared" si="11"/>
        <v>1.5184783094812171</v>
      </c>
      <c r="P58" s="245">
        <f t="shared" si="12"/>
        <v>5.6239937388193224E-2</v>
      </c>
      <c r="Q58" s="245">
        <f t="shared" si="13"/>
        <v>2652.1078620769331</v>
      </c>
      <c r="R58" s="560" cm="1">
        <f t="array" aca="1" ref="R58" ca="1">_xlfn.XLOOKUP(I58,T_minESABlindWidth[Description],INDIRECT(_xlfn.CONCAT("T_minESABlindWidth[",i_idler,"]")))</f>
        <v>1110</v>
      </c>
      <c r="S58" s="245">
        <f t="shared" ca="1" si="14"/>
        <v>1.1100000000000001</v>
      </c>
      <c r="T58" s="245">
        <v>8.0201460362494483</v>
      </c>
      <c r="U58" s="606" t="str">
        <f t="shared" ca="1" si="9"/>
        <v/>
      </c>
      <c r="V58" s="245" t="s">
        <v>887</v>
      </c>
      <c r="W58" s="245"/>
      <c r="X58" s="245"/>
      <c r="Y58" s="245"/>
      <c r="Z58" s="245"/>
      <c r="AA58" s="245"/>
    </row>
    <row r="59" spans="4:27">
      <c r="D59" s="245">
        <f t="shared" si="16"/>
        <v>2.0004664339589699E-2</v>
      </c>
      <c r="E59" s="245">
        <f t="shared" si="17"/>
        <v>5.9265181479456384E-2</v>
      </c>
      <c r="F59" s="245" t="e">
        <f t="shared" ca="1" si="20"/>
        <v>#DIV/0!</v>
      </c>
      <c r="G59" s="245" t="e">
        <f ca="1">IF(P59&lt;&gt;"",IF(OR(input_idealSpringRate&gt;_SpringData_L0!E59,input_idealSpringRate&lt;_SpringData_L0!$D$4),"n",IF(AND(input_idealSpringRate&lt;_SpringData_L0!E59,input_idealSpringRate&gt;_SpringData_L0!D59*$B$12),"y","n")),"")</f>
        <v>#DIV/0!</v>
      </c>
      <c r="H59" s="245">
        <v>25</v>
      </c>
      <c r="I59" s="245" t="s">
        <v>897</v>
      </c>
      <c r="J59" s="245">
        <v>1.6</v>
      </c>
      <c r="K59" s="245">
        <f t="shared" si="10"/>
        <v>20.6</v>
      </c>
      <c r="L59" s="245">
        <v>7</v>
      </c>
      <c r="M59" s="245">
        <v>105</v>
      </c>
      <c r="N59" s="245">
        <v>20</v>
      </c>
      <c r="O59" s="245">
        <f t="shared" si="11"/>
        <v>1.1614486053321011</v>
      </c>
      <c r="P59" s="245">
        <f t="shared" si="12"/>
        <v>5.8072430266605059E-2</v>
      </c>
      <c r="Q59" s="245">
        <f t="shared" si="13"/>
        <v>2888.2857294654959</v>
      </c>
      <c r="R59" s="560" cm="1">
        <f t="array" aca="1" ref="R59" ca="1">_xlfn.XLOOKUP(I59,T_minESABlindWidth[Description],INDIRECT(_xlfn.CONCAT("T_minESABlindWidth[",i_idler,"]")))</f>
        <v>1010</v>
      </c>
      <c r="S59" s="245">
        <f t="shared" ca="1" si="14"/>
        <v>1.01</v>
      </c>
      <c r="T59" s="245">
        <v>6.1344224479203362</v>
      </c>
      <c r="U59" s="606" t="str">
        <f t="shared" ca="1" si="9"/>
        <v/>
      </c>
      <c r="V59" s="245" t="s">
        <v>887</v>
      </c>
      <c r="W59" s="245"/>
      <c r="X59" s="245"/>
      <c r="Y59" s="245"/>
      <c r="Z59" s="245"/>
      <c r="AA59" s="245"/>
    </row>
    <row r="60" spans="4:27">
      <c r="D60" s="245">
        <f t="shared" si="16"/>
        <v>2.0742813517809735E-2</v>
      </c>
      <c r="E60" s="245">
        <f t="shared" si="17"/>
        <v>6.290892996361748E-2</v>
      </c>
      <c r="F60" s="245" t="e">
        <f t="shared" ca="1" si="20"/>
        <v>#DIV/0!</v>
      </c>
      <c r="G60" s="245" t="e">
        <f ca="1">IF(P60&lt;&gt;"",IF(OR(input_idealSpringRate&gt;_SpringData_L0!E60,input_idealSpringRate&lt;_SpringData_L0!$D$4),"n",IF(AND(input_idealSpringRate&lt;_SpringData_L0!E60,input_idealSpringRate&gt;_SpringData_L0!D60*$B$12),"y","n")),"")</f>
        <v>#DIV/0!</v>
      </c>
      <c r="H60" s="245">
        <v>56</v>
      </c>
      <c r="I60" s="245" t="s">
        <v>902</v>
      </c>
      <c r="J60" s="245">
        <v>1.8</v>
      </c>
      <c r="K60" s="245">
        <f t="shared" si="10"/>
        <v>20.8</v>
      </c>
      <c r="L60" s="245">
        <v>13</v>
      </c>
      <c r="M60" s="245">
        <v>160</v>
      </c>
      <c r="N60" s="245">
        <v>26</v>
      </c>
      <c r="O60" s="245">
        <f t="shared" si="11"/>
        <v>1.5719062500000005</v>
      </c>
      <c r="P60" s="245">
        <f t="shared" si="12"/>
        <v>6.045793269230771E-2</v>
      </c>
      <c r="Q60" s="245">
        <f t="shared" si="13"/>
        <v>2745.4227683351955</v>
      </c>
      <c r="R60" s="560" cm="1">
        <f t="array" aca="1" ref="R60" ca="1">_xlfn.XLOOKUP(I60,T_minESABlindWidth[Description],INDIRECT(_xlfn.CONCAT("T_minESABlindWidth[",i_idler,"]")))</f>
        <v>1110</v>
      </c>
      <c r="S60" s="245">
        <f t="shared" ca="1" si="14"/>
        <v>1.1100000000000001</v>
      </c>
      <c r="T60" s="245">
        <v>8.3023363597471143</v>
      </c>
      <c r="U60" s="606" t="str">
        <f t="shared" ca="1" si="9"/>
        <v/>
      </c>
      <c r="V60" s="245" t="s">
        <v>887</v>
      </c>
      <c r="W60" s="245"/>
      <c r="X60" s="245"/>
      <c r="Y60" s="245"/>
      <c r="Z60" s="245"/>
      <c r="AA60" s="245"/>
    </row>
    <row r="61" spans="4:27">
      <c r="D61" s="245">
        <f t="shared" si="16"/>
        <v>2.2018125487266116E-2</v>
      </c>
      <c r="E61" s="245">
        <f t="shared" si="17"/>
        <v>6.6183288771274218E-2</v>
      </c>
      <c r="F61" s="245" t="e">
        <f t="shared" ca="1" si="20"/>
        <v>#DIV/0!</v>
      </c>
      <c r="G61" s="245" t="e">
        <f ca="1">IF(P61&lt;&gt;"",IF(OR(input_idealSpringRate&gt;_SpringData_L0!E61,input_idealSpringRate&lt;_SpringData_L0!$D$4),"n",IF(AND(input_idealSpringRate&lt;_SpringData_L0!E61,input_idealSpringRate&gt;_SpringData_L0!D61*$B$12),"y","n")),"")</f>
        <v>#DIV/0!</v>
      </c>
      <c r="H61" s="245">
        <v>55</v>
      </c>
      <c r="I61" s="245" t="s">
        <v>902</v>
      </c>
      <c r="J61" s="245">
        <v>1.8</v>
      </c>
      <c r="K61" s="245">
        <f t="shared" si="10"/>
        <v>20.8</v>
      </c>
      <c r="L61" s="245">
        <v>12</v>
      </c>
      <c r="M61" s="245">
        <v>148</v>
      </c>
      <c r="N61" s="245">
        <v>23</v>
      </c>
      <c r="O61" s="245">
        <f t="shared" si="11"/>
        <v>1.5032783264033269</v>
      </c>
      <c r="P61" s="245">
        <f t="shared" si="12"/>
        <v>6.5359927234927256E-2</v>
      </c>
      <c r="Q61" s="245">
        <f t="shared" si="13"/>
        <v>2625.5602358299166</v>
      </c>
      <c r="R61" s="560" cm="1">
        <f t="array" aca="1" ref="R61" ca="1">_xlfn.XLOOKUP(I61,T_minESABlindWidth[Description],INDIRECT(_xlfn.CONCAT("T_minESABlindWidth[",i_idler,"]")))</f>
        <v>1110</v>
      </c>
      <c r="S61" s="245">
        <f t="shared" ca="1" si="14"/>
        <v>1.1100000000000001</v>
      </c>
      <c r="T61" s="245">
        <v>7.9398642941448498</v>
      </c>
      <c r="U61" s="606" t="str">
        <f t="shared" ca="1" si="9"/>
        <v/>
      </c>
      <c r="V61" s="245" t="s">
        <v>887</v>
      </c>
      <c r="W61" s="245"/>
      <c r="X61" s="245"/>
      <c r="Y61" s="245"/>
      <c r="Z61" s="245"/>
      <c r="AA61" s="245"/>
    </row>
    <row r="62" spans="4:27">
      <c r="D62" s="245">
        <f t="shared" si="16"/>
        <v>2.3164151069945974E-2</v>
      </c>
      <c r="E62" s="245">
        <f t="shared" si="17"/>
        <v>6.9066814972815124E-2</v>
      </c>
      <c r="F62" s="245" t="e">
        <f t="shared" ca="1" si="20"/>
        <v>#DIV/0!</v>
      </c>
      <c r="G62" s="245" t="e">
        <f ca="1">IF(P62&lt;&gt;"",IF(OR(input_idealSpringRate&gt;_SpringData_L0!E62,input_idealSpringRate&lt;_SpringData_L0!$D$4),"n",IF(AND(input_idealSpringRate&lt;_SpringData_L0!E62,input_idealSpringRate&gt;_SpringData_L0!D62*$B$12),"y","n")),"")</f>
        <v>#DIV/0!</v>
      </c>
      <c r="H62" s="245">
        <v>24</v>
      </c>
      <c r="I62" s="245" t="s">
        <v>897</v>
      </c>
      <c r="J62" s="245">
        <v>1.6</v>
      </c>
      <c r="K62" s="245">
        <f t="shared" si="10"/>
        <v>20.6</v>
      </c>
      <c r="L62" s="245">
        <v>6</v>
      </c>
      <c r="M62" s="245">
        <v>91</v>
      </c>
      <c r="N62" s="245">
        <v>19</v>
      </c>
      <c r="O62" s="245">
        <f t="shared" si="11"/>
        <v>1.2731263558448027</v>
      </c>
      <c r="P62" s="245">
        <f t="shared" si="12"/>
        <v>6.7006650307621193E-2</v>
      </c>
      <c r="Q62" s="245">
        <f t="shared" si="13"/>
        <v>3166.0055111448692</v>
      </c>
      <c r="R62" s="560" cm="1">
        <f t="array" aca="1" ref="R62" ca="1">_xlfn.XLOOKUP(I62,T_minESABlindWidth[Description],INDIRECT(_xlfn.CONCAT("T_minESABlindWidth[",i_idler,"]")))</f>
        <v>1010</v>
      </c>
      <c r="S62" s="245">
        <f t="shared" ca="1" si="14"/>
        <v>1.01</v>
      </c>
      <c r="T62" s="245">
        <v>6.7242707602203655</v>
      </c>
      <c r="U62" s="606" t="str">
        <f t="shared" ca="1" si="9"/>
        <v/>
      </c>
      <c r="V62" s="245" t="s">
        <v>887</v>
      </c>
      <c r="W62" s="245"/>
      <c r="X62" s="245"/>
      <c r="Y62" s="245"/>
      <c r="Z62" s="245"/>
      <c r="AA62" s="245"/>
    </row>
    <row r="63" spans="4:27">
      <c r="D63" s="245">
        <f t="shared" si="16"/>
        <v>2.4173385240485293E-2</v>
      </c>
      <c r="E63" s="245">
        <f t="shared" si="17"/>
        <v>7.4256566742081462E-2</v>
      </c>
      <c r="F63" s="245" t="e">
        <f t="shared" ca="1" si="20"/>
        <v>#DIV/0!</v>
      </c>
      <c r="G63" s="245" t="e">
        <f ca="1">IF(P63&lt;&gt;"",IF(OR(input_idealSpringRate&gt;_SpringData_L0!E63,input_idealSpringRate&lt;_SpringData_L0!$D$4),"n",IF(AND(input_idealSpringRate&lt;_SpringData_L0!E63,input_idealSpringRate&gt;_SpringData_L0!D63*$B$12),"y","n")),"")</f>
        <v>#DIV/0!</v>
      </c>
      <c r="H63" s="245">
        <v>54</v>
      </c>
      <c r="I63" s="245" t="s">
        <v>902</v>
      </c>
      <c r="J63" s="245">
        <v>1.8</v>
      </c>
      <c r="K63" s="245">
        <f t="shared" si="10"/>
        <v>20.8</v>
      </c>
      <c r="L63" s="245">
        <v>11</v>
      </c>
      <c r="M63" s="245">
        <v>136</v>
      </c>
      <c r="N63" s="245">
        <v>21</v>
      </c>
      <c r="O63" s="245">
        <f t="shared" si="11"/>
        <v>1.4936665723981901</v>
      </c>
      <c r="P63" s="245">
        <f t="shared" si="12"/>
        <v>7.1126979638009055E-2</v>
      </c>
      <c r="Q63" s="245">
        <f t="shared" si="13"/>
        <v>2608.7727662913612</v>
      </c>
      <c r="R63" s="560" cm="1">
        <f t="array" aca="1" ref="R63" ca="1">_xlfn.XLOOKUP(I63,T_minESABlindWidth[Description],INDIRECT(_xlfn.CONCAT("T_minESABlindWidth[",i_idler,"]")))</f>
        <v>1110</v>
      </c>
      <c r="S63" s="245">
        <f t="shared" ca="1" si="14"/>
        <v>1.1100000000000001</v>
      </c>
      <c r="T63" s="245">
        <v>7.8890978984022331</v>
      </c>
      <c r="U63" s="606" t="str">
        <f t="shared" ca="1" si="9"/>
        <v/>
      </c>
      <c r="V63" s="245" t="s">
        <v>887</v>
      </c>
      <c r="W63" s="245"/>
      <c r="X63" s="245"/>
      <c r="Y63" s="245"/>
      <c r="Z63" s="245"/>
      <c r="AA63" s="245"/>
    </row>
    <row r="64" spans="4:27">
      <c r="D64" s="245">
        <f t="shared" si="16"/>
        <v>2.5989798359728509E-2</v>
      </c>
      <c r="E64" s="245">
        <f t="shared" si="17"/>
        <v>7.7386153846153868E-2</v>
      </c>
      <c r="F64" s="245" t="e">
        <f t="shared" ca="1" si="20"/>
        <v>#DIV/0!</v>
      </c>
      <c r="G64" s="245" t="e">
        <f ca="1">IF(P64&lt;&gt;"",IF(OR(input_idealSpringRate&gt;_SpringData_L0!E64,input_idealSpringRate&lt;_SpringData_L0!$D$4),"n",IF(AND(input_idealSpringRate&lt;_SpringData_L0!E64,input_idealSpringRate&gt;_SpringData_L0!D64*$B$12),"y","n")),"")</f>
        <v>#DIV/0!</v>
      </c>
      <c r="H64" s="245">
        <v>53</v>
      </c>
      <c r="I64" s="245" t="s">
        <v>902</v>
      </c>
      <c r="J64" s="245">
        <v>1.8</v>
      </c>
      <c r="K64" s="245">
        <f t="shared" si="10"/>
        <v>20.8</v>
      </c>
      <c r="L64" s="245">
        <v>10</v>
      </c>
      <c r="M64" s="245">
        <v>125</v>
      </c>
      <c r="N64" s="245">
        <v>19</v>
      </c>
      <c r="O64" s="245">
        <f t="shared" si="11"/>
        <v>1.4703369230769234</v>
      </c>
      <c r="P64" s="245">
        <f t="shared" si="12"/>
        <v>7.7386153846153868E-2</v>
      </c>
      <c r="Q64" s="245">
        <f t="shared" si="13"/>
        <v>2568.026220227383</v>
      </c>
      <c r="R64" s="560" cm="1">
        <f t="array" aca="1" ref="R64" ca="1">_xlfn.XLOOKUP(I64,T_minESABlindWidth[Description],INDIRECT(_xlfn.CONCAT("T_minESABlindWidth[",i_idler,"]")))</f>
        <v>1110</v>
      </c>
      <c r="S64" s="245">
        <f t="shared" ca="1" si="14"/>
        <v>1.1100000000000001</v>
      </c>
      <c r="T64" s="245">
        <v>7.7658777026557617</v>
      </c>
      <c r="U64" s="606" t="str">
        <f t="shared" ca="1" si="9"/>
        <v/>
      </c>
      <c r="V64" s="245" t="s">
        <v>887</v>
      </c>
      <c r="W64" s="245"/>
      <c r="X64" s="245"/>
      <c r="Y64" s="245"/>
      <c r="Z64" s="245"/>
      <c r="AA64" s="245"/>
    </row>
    <row r="65" spans="4:27">
      <c r="D65" s="245">
        <f t="shared" si="16"/>
        <v>2.7085153846153853E-2</v>
      </c>
      <c r="E65" s="245" t="str">
        <f t="shared" si="17"/>
        <v/>
      </c>
      <c r="F65" s="245" t="str">
        <f t="shared" si="20"/>
        <v/>
      </c>
      <c r="G65" s="245" t="str">
        <f>IF(P65&lt;&gt;"",IF(OR(input_idealSpringRate&gt;_SpringData_L0!E65,input_idealSpringRate&lt;_SpringData_L0!$D$4),"n",IF(AND(input_idealSpringRate&lt;_SpringData_L0!E65,input_idealSpringRate&gt;_SpringData_L0!D65*$B$12),"y","n")),"")</f>
        <v/>
      </c>
      <c r="H65" s="245">
        <v>1</v>
      </c>
      <c r="I65" s="245" t="s">
        <v>889</v>
      </c>
      <c r="J65" s="245">
        <v>1</v>
      </c>
      <c r="K65" s="245">
        <f t="shared" si="10"/>
        <v>20</v>
      </c>
      <c r="L65" s="245">
        <v>1</v>
      </c>
      <c r="M65" s="245">
        <v>29</v>
      </c>
      <c r="N65" s="245"/>
      <c r="O65" s="245">
        <f t="shared" si="11"/>
        <v>0</v>
      </c>
      <c r="P65" s="245" t="str">
        <f t="shared" si="12"/>
        <v/>
      </c>
      <c r="Q65" s="245">
        <f t="shared" si="13"/>
        <v>0</v>
      </c>
      <c r="R65" s="560" cm="1">
        <f t="array" aca="1" ref="R65" ca="1">_xlfn.XLOOKUP(I65,T_minESABlindWidth[Description],INDIRECT(_xlfn.CONCAT("T_minESABlindWidth[",i_idler,"]")))</f>
        <v>498</v>
      </c>
      <c r="S65" s="245">
        <f t="shared" ca="1" si="14"/>
        <v>0.498</v>
      </c>
      <c r="T65" s="245"/>
      <c r="U65" s="606" t="str">
        <f t="shared" ca="1" si="9"/>
        <v/>
      </c>
      <c r="V65" s="245"/>
      <c r="W65" s="245"/>
      <c r="X65" s="245"/>
      <c r="Y65" s="245"/>
      <c r="Z65" s="245"/>
      <c r="AA65" s="245"/>
    </row>
    <row r="66" spans="4:27">
      <c r="D66" s="245" t="str">
        <f t="shared" si="16"/>
        <v/>
      </c>
      <c r="E66" s="245" t="str">
        <f t="shared" si="17"/>
        <v/>
      </c>
      <c r="F66" s="245" t="str">
        <f t="shared" si="20"/>
        <v/>
      </c>
      <c r="G66" s="245" t="str">
        <f>IF(P66&lt;&gt;"",IF(OR(input_idealSpringRate&gt;_SpringData_L0!E66,input_idealSpringRate&lt;_SpringData_L0!$D$4),"n",IF(AND(input_idealSpringRate&lt;_SpringData_L0!E66,input_idealSpringRate&gt;_SpringData_L0!D66*$B$12),"y","n")),"")</f>
        <v/>
      </c>
      <c r="H66" s="245">
        <v>2</v>
      </c>
      <c r="I66" s="245" t="s">
        <v>889</v>
      </c>
      <c r="J66" s="245">
        <v>1</v>
      </c>
      <c r="K66" s="245">
        <f t="shared" si="10"/>
        <v>20</v>
      </c>
      <c r="L66" s="245">
        <v>2</v>
      </c>
      <c r="M66" s="245">
        <v>47</v>
      </c>
      <c r="N66" s="245"/>
      <c r="O66" s="245">
        <f t="shared" si="11"/>
        <v>0</v>
      </c>
      <c r="P66" s="245" t="str">
        <f t="shared" si="12"/>
        <v/>
      </c>
      <c r="Q66" s="245">
        <f t="shared" si="13"/>
        <v>0</v>
      </c>
      <c r="R66" s="560" cm="1">
        <f t="array" aca="1" ref="R66" ca="1">_xlfn.XLOOKUP(I66,T_minESABlindWidth[Description],INDIRECT(_xlfn.CONCAT("T_minESABlindWidth[",i_idler,"]")))</f>
        <v>498</v>
      </c>
      <c r="S66" s="245">
        <f t="shared" ca="1" si="14"/>
        <v>0.498</v>
      </c>
      <c r="T66" s="245"/>
      <c r="U66" s="606" t="str">
        <f t="shared" ca="1" si="9"/>
        <v/>
      </c>
      <c r="V66" s="245"/>
      <c r="W66" s="245"/>
      <c r="X66" s="245"/>
      <c r="Y66" s="245"/>
      <c r="Z66" s="245"/>
      <c r="AA66" s="245"/>
    </row>
    <row r="67" spans="4:27">
      <c r="D67" s="245" t="str">
        <f t="shared" si="16"/>
        <v/>
      </c>
      <c r="E67" s="245" t="str">
        <f t="shared" si="17"/>
        <v/>
      </c>
      <c r="F67" s="245" t="str">
        <f t="shared" si="20"/>
        <v/>
      </c>
      <c r="G67" s="245" t="str">
        <f>IF(P67&lt;&gt;"",IF(OR(input_idealSpringRate&gt;_SpringData_L0!E67,input_idealSpringRate&lt;_SpringData_L0!$D$4),"n",IF(AND(input_idealSpringRate&lt;_SpringData_L0!E67,input_idealSpringRate&gt;_SpringData_L0!D67*$B$12),"y","n")),"")</f>
        <v/>
      </c>
      <c r="H67" s="245">
        <v>6</v>
      </c>
      <c r="I67" s="245" t="s">
        <v>886</v>
      </c>
      <c r="J67" s="245">
        <v>1.2</v>
      </c>
      <c r="K67" s="245">
        <f t="shared" si="10"/>
        <v>20.2</v>
      </c>
      <c r="L67" s="245">
        <v>1</v>
      </c>
      <c r="M67" s="245">
        <v>28</v>
      </c>
      <c r="N67" s="245"/>
      <c r="O67" s="245">
        <f t="shared" si="11"/>
        <v>0</v>
      </c>
      <c r="P67" s="245" t="str">
        <f t="shared" si="12"/>
        <v/>
      </c>
      <c r="Q67" s="245">
        <f t="shared" si="13"/>
        <v>0</v>
      </c>
      <c r="R67" s="560" cm="1">
        <f t="array" aca="1" ref="R67" ca="1">_xlfn.XLOOKUP(I67,T_minESABlindWidth[Description],INDIRECT(_xlfn.CONCAT("T_minESABlindWidth[",i_idler,"]")))</f>
        <v>700</v>
      </c>
      <c r="S67" s="245">
        <f t="shared" ca="1" si="14"/>
        <v>0.70000000000000007</v>
      </c>
      <c r="T67" s="245"/>
      <c r="U67" s="606" t="str">
        <f t="shared" ca="1" si="9"/>
        <v/>
      </c>
      <c r="V67" s="245"/>
      <c r="W67" s="245"/>
      <c r="X67" s="245"/>
      <c r="Y67" s="245"/>
      <c r="Z67" s="245"/>
      <c r="AA67" s="245"/>
    </row>
    <row r="68" spans="4:27">
      <c r="D68" s="245" t="str">
        <f t="shared" si="16"/>
        <v/>
      </c>
      <c r="E68" s="245" t="str">
        <f t="shared" si="17"/>
        <v/>
      </c>
      <c r="F68" s="245" t="str">
        <f t="shared" si="20"/>
        <v/>
      </c>
      <c r="G68" s="245" t="str">
        <f>IF(P68&lt;&gt;"",IF(OR(input_idealSpringRate&gt;_SpringData_L0!E68,input_idealSpringRate&lt;_SpringData_L0!$D$4),"n",IF(AND(input_idealSpringRate&lt;_SpringData_L0!E68,input_idealSpringRate&gt;_SpringData_L0!D68*$B$12),"y","n")),"")</f>
        <v/>
      </c>
      <c r="H68" s="245">
        <v>7</v>
      </c>
      <c r="I68" s="245" t="s">
        <v>886</v>
      </c>
      <c r="J68" s="245">
        <v>1.2</v>
      </c>
      <c r="K68" s="245">
        <f t="shared" si="10"/>
        <v>20.2</v>
      </c>
      <c r="L68" s="245">
        <v>2</v>
      </c>
      <c r="M68" s="245">
        <v>45</v>
      </c>
      <c r="N68" s="245"/>
      <c r="O68" s="245">
        <f t="shared" si="11"/>
        <v>0</v>
      </c>
      <c r="P68" s="245" t="str">
        <f t="shared" si="12"/>
        <v/>
      </c>
      <c r="Q68" s="245">
        <f t="shared" si="13"/>
        <v>0</v>
      </c>
      <c r="R68" s="560" cm="1">
        <f t="array" aca="1" ref="R68" ca="1">_xlfn.XLOOKUP(I68,T_minESABlindWidth[Description],INDIRECT(_xlfn.CONCAT("T_minESABlindWidth[",i_idler,"]")))</f>
        <v>700</v>
      </c>
      <c r="S68" s="245">
        <f t="shared" ca="1" si="14"/>
        <v>0.70000000000000007</v>
      </c>
      <c r="T68" s="245"/>
      <c r="U68" s="606" t="str">
        <f t="shared" ca="1" si="9"/>
        <v/>
      </c>
      <c r="V68" s="245"/>
      <c r="W68" s="245"/>
      <c r="X68" s="245"/>
      <c r="Y68" s="245"/>
      <c r="Z68" s="245"/>
      <c r="AA68" s="245"/>
    </row>
    <row r="69" spans="4:27">
      <c r="D69" s="245" t="str">
        <f t="shared" si="16"/>
        <v/>
      </c>
      <c r="E69" s="245" t="str">
        <f t="shared" si="17"/>
        <v/>
      </c>
      <c r="F69" s="245" t="str">
        <f t="shared" si="20"/>
        <v/>
      </c>
      <c r="G69" s="245" t="str">
        <f>IF(P69&lt;&gt;"",IF(OR(input_idealSpringRate&gt;_SpringData_L0!E69,input_idealSpringRate&lt;_SpringData_L0!$D$4),"n",IF(AND(input_idealSpringRate&lt;_SpringData_L0!E69,input_idealSpringRate&gt;_SpringData_L0!D69*$B$12),"y","n")),"")</f>
        <v/>
      </c>
      <c r="H69" s="245">
        <v>8</v>
      </c>
      <c r="I69" s="245" t="s">
        <v>886</v>
      </c>
      <c r="J69" s="245">
        <v>1.2</v>
      </c>
      <c r="K69" s="245">
        <f t="shared" si="10"/>
        <v>20.2</v>
      </c>
      <c r="L69" s="245">
        <v>3</v>
      </c>
      <c r="M69" s="245">
        <v>63</v>
      </c>
      <c r="N69" s="245"/>
      <c r="O69" s="245">
        <f t="shared" si="11"/>
        <v>0</v>
      </c>
      <c r="P69" s="245" t="str">
        <f t="shared" si="12"/>
        <v/>
      </c>
      <c r="Q69" s="245">
        <f t="shared" si="13"/>
        <v>0</v>
      </c>
      <c r="R69" s="560" cm="1">
        <f t="array" aca="1" ref="R69" ca="1">_xlfn.XLOOKUP(I69,T_minESABlindWidth[Description],INDIRECT(_xlfn.CONCAT("T_minESABlindWidth[",i_idler,"]")))</f>
        <v>700</v>
      </c>
      <c r="S69" s="245">
        <f t="shared" ca="1" si="14"/>
        <v>0.70000000000000007</v>
      </c>
      <c r="T69" s="245"/>
      <c r="U69" s="606" t="str">
        <f t="shared" ca="1" si="9"/>
        <v/>
      </c>
      <c r="V69" s="245"/>
      <c r="W69" s="245"/>
      <c r="X69" s="245"/>
      <c r="Y69" s="245"/>
      <c r="Z69" s="245"/>
      <c r="AA69" s="245"/>
    </row>
    <row r="70" spans="4:27">
      <c r="D70" s="245" t="str">
        <f t="shared" si="16"/>
        <v/>
      </c>
      <c r="E70" s="245" t="str">
        <f t="shared" si="17"/>
        <v/>
      </c>
      <c r="F70" s="245" t="str">
        <f t="shared" si="20"/>
        <v/>
      </c>
      <c r="G70" s="245" t="str">
        <f>IF(P70&lt;&gt;"",IF(OR(input_idealSpringRate&gt;_SpringData_L0!E70,input_idealSpringRate&lt;_SpringData_L0!$D$4),"n",IF(AND(input_idealSpringRate&lt;_SpringData_L0!E70,input_idealSpringRate&gt;_SpringData_L0!D70*$B$12),"y","n")),"")</f>
        <v/>
      </c>
      <c r="H70" s="245">
        <v>9</v>
      </c>
      <c r="I70" s="245" t="s">
        <v>886</v>
      </c>
      <c r="J70" s="245">
        <v>1.2</v>
      </c>
      <c r="K70" s="245">
        <f t="shared" si="10"/>
        <v>20.2</v>
      </c>
      <c r="L70" s="245">
        <v>4</v>
      </c>
      <c r="M70" s="245">
        <v>81</v>
      </c>
      <c r="N70" s="245"/>
      <c r="O70" s="245">
        <f t="shared" si="11"/>
        <v>0</v>
      </c>
      <c r="P70" s="245" t="str">
        <f t="shared" si="12"/>
        <v/>
      </c>
      <c r="Q70" s="245">
        <f t="shared" si="13"/>
        <v>0</v>
      </c>
      <c r="R70" s="560" cm="1">
        <f t="array" aca="1" ref="R70" ca="1">_xlfn.XLOOKUP(I70,T_minESABlindWidth[Description],INDIRECT(_xlfn.CONCAT("T_minESABlindWidth[",i_idler,"]")))</f>
        <v>700</v>
      </c>
      <c r="S70" s="245">
        <f t="shared" ca="1" si="14"/>
        <v>0.70000000000000007</v>
      </c>
      <c r="T70" s="245"/>
      <c r="U70" s="606" t="str">
        <f t="shared" ca="1" si="9"/>
        <v/>
      </c>
      <c r="V70" s="245"/>
      <c r="W70" s="245"/>
      <c r="X70" s="245"/>
      <c r="Y70" s="245"/>
      <c r="Z70" s="245"/>
      <c r="AA70" s="245"/>
    </row>
    <row r="71" spans="4:27">
      <c r="D71" s="245" t="str">
        <f t="shared" si="16"/>
        <v/>
      </c>
      <c r="E71" s="245" t="str">
        <f t="shared" si="17"/>
        <v/>
      </c>
      <c r="F71" s="245" t="str">
        <f t="shared" si="20"/>
        <v/>
      </c>
      <c r="G71" s="245" t="str">
        <f>IF(P71&lt;&gt;"",IF(OR(input_idealSpringRate&gt;_SpringData_L0!E71,input_idealSpringRate&lt;_SpringData_L0!$D$4),"n",IF(AND(input_idealSpringRate&lt;_SpringData_L0!E71,input_idealSpringRate&gt;_SpringData_L0!D71*$B$12),"y","n")),"")</f>
        <v/>
      </c>
      <c r="H71" s="245">
        <v>10</v>
      </c>
      <c r="I71" s="245" t="s">
        <v>886</v>
      </c>
      <c r="J71" s="245">
        <v>1.2</v>
      </c>
      <c r="K71" s="245">
        <f t="shared" si="10"/>
        <v>20.2</v>
      </c>
      <c r="L71" s="245">
        <v>5</v>
      </c>
      <c r="M71" s="245">
        <v>98</v>
      </c>
      <c r="N71" s="245"/>
      <c r="O71" s="245">
        <f t="shared" si="11"/>
        <v>0</v>
      </c>
      <c r="P71" s="245" t="str">
        <f t="shared" si="12"/>
        <v/>
      </c>
      <c r="Q71" s="245">
        <f t="shared" si="13"/>
        <v>0</v>
      </c>
      <c r="R71" s="560" cm="1">
        <f t="array" aca="1" ref="R71" ca="1">_xlfn.XLOOKUP(I71,T_minESABlindWidth[Description],INDIRECT(_xlfn.CONCAT("T_minESABlindWidth[",i_idler,"]")))</f>
        <v>700</v>
      </c>
      <c r="S71" s="245">
        <f t="shared" ca="1" si="14"/>
        <v>0.70000000000000007</v>
      </c>
      <c r="T71" s="245"/>
      <c r="U71" s="606" t="str">
        <f t="shared" ca="1" si="9"/>
        <v/>
      </c>
      <c r="V71" s="245"/>
      <c r="W71" s="245"/>
      <c r="X71" s="245"/>
      <c r="Y71" s="245"/>
      <c r="Z71" s="245"/>
      <c r="AA71" s="245"/>
    </row>
    <row r="72" spans="4:27">
      <c r="D72" s="245" t="str">
        <f t="shared" si="16"/>
        <v/>
      </c>
      <c r="E72" s="245" t="str">
        <f t="shared" si="17"/>
        <v/>
      </c>
      <c r="F72" s="245" t="str">
        <f t="shared" si="20"/>
        <v/>
      </c>
      <c r="G72" s="245" t="str">
        <f>IF(P72&lt;&gt;"",IF(OR(input_idealSpringRate&gt;_SpringData_L0!E72,input_idealSpringRate&lt;_SpringData_L0!$D$4),"n",IF(AND(input_idealSpringRate&lt;_SpringData_L0!E72,input_idealSpringRate&gt;_SpringData_L0!D72*$B$12),"y","n")),"")</f>
        <v/>
      </c>
      <c r="H72" s="245">
        <v>19</v>
      </c>
      <c r="I72" s="245" t="s">
        <v>897</v>
      </c>
      <c r="J72" s="245">
        <v>1.6</v>
      </c>
      <c r="K72" s="245">
        <f t="shared" si="10"/>
        <v>20.6</v>
      </c>
      <c r="L72" s="245">
        <v>1</v>
      </c>
      <c r="M72" s="245">
        <v>22</v>
      </c>
      <c r="N72" s="245"/>
      <c r="O72" s="245">
        <f t="shared" si="11"/>
        <v>0</v>
      </c>
      <c r="P72" s="245" t="str">
        <f t="shared" si="12"/>
        <v/>
      </c>
      <c r="Q72" s="245">
        <f t="shared" si="13"/>
        <v>0</v>
      </c>
      <c r="R72" s="560" cm="1">
        <f t="array" aca="1" ref="R72" ca="1">_xlfn.XLOOKUP(I72,T_minESABlindWidth[Description],INDIRECT(_xlfn.CONCAT("T_minESABlindWidth[",i_idler,"]")))</f>
        <v>1010</v>
      </c>
      <c r="S72" s="245">
        <f t="shared" ca="1" si="14"/>
        <v>1.01</v>
      </c>
      <c r="T72" s="245"/>
      <c r="U72" s="606" t="str">
        <f t="shared" ca="1" si="9"/>
        <v/>
      </c>
      <c r="V72" s="245"/>
      <c r="W72" s="245"/>
      <c r="X72" s="245"/>
      <c r="Y72" s="245"/>
      <c r="Z72" s="245"/>
      <c r="AA72" s="245"/>
    </row>
    <row r="73" spans="4:27">
      <c r="D73" s="245" t="str">
        <f t="shared" si="16"/>
        <v/>
      </c>
      <c r="E73" s="245" t="str">
        <f t="shared" si="17"/>
        <v/>
      </c>
      <c r="F73" s="245" t="str">
        <f t="shared" si="20"/>
        <v/>
      </c>
      <c r="G73" s="245" t="str">
        <f>IF(P73&lt;&gt;"",IF(OR(input_idealSpringRate&gt;_SpringData_L0!E73,input_idealSpringRate&lt;_SpringData_L0!$D$4),"n",IF(AND(input_idealSpringRate&lt;_SpringData_L0!E73,input_idealSpringRate&gt;_SpringData_L0!D73*$B$12),"y","n")),"")</f>
        <v/>
      </c>
      <c r="H73" s="245">
        <v>20</v>
      </c>
      <c r="I73" s="245" t="s">
        <v>897</v>
      </c>
      <c r="J73" s="245">
        <v>1.6</v>
      </c>
      <c r="K73" s="245">
        <f t="shared" si="10"/>
        <v>20.6</v>
      </c>
      <c r="L73" s="245">
        <v>2</v>
      </c>
      <c r="M73" s="245">
        <v>36</v>
      </c>
      <c r="N73" s="245"/>
      <c r="O73" s="245">
        <f t="shared" si="11"/>
        <v>0</v>
      </c>
      <c r="P73" s="245" t="str">
        <f t="shared" si="12"/>
        <v/>
      </c>
      <c r="Q73" s="245">
        <f t="shared" si="13"/>
        <v>0</v>
      </c>
      <c r="R73" s="560" cm="1">
        <f t="array" aca="1" ref="R73" ca="1">_xlfn.XLOOKUP(I73,T_minESABlindWidth[Description],INDIRECT(_xlfn.CONCAT("T_minESABlindWidth[",i_idler,"]")))</f>
        <v>1010</v>
      </c>
      <c r="S73" s="245">
        <f t="shared" ca="1" si="14"/>
        <v>1.01</v>
      </c>
      <c r="T73" s="245"/>
      <c r="U73" s="606" t="str">
        <f t="shared" ca="1" si="9"/>
        <v/>
      </c>
      <c r="V73" s="245"/>
      <c r="W73" s="245"/>
      <c r="X73" s="245"/>
      <c r="Y73" s="245"/>
      <c r="Z73" s="245"/>
      <c r="AA73" s="245"/>
    </row>
    <row r="74" spans="4:27">
      <c r="D74" s="245" t="str">
        <f t="shared" si="16"/>
        <v/>
      </c>
      <c r="E74" s="245" t="str">
        <f t="shared" si="17"/>
        <v/>
      </c>
      <c r="F74" s="245" t="str">
        <f t="shared" si="20"/>
        <v/>
      </c>
      <c r="G74" s="245" t="str">
        <f>IF(P74&lt;&gt;"",IF(OR(input_idealSpringRate&gt;_SpringData_L0!E74,input_idealSpringRate&lt;_SpringData_L0!$D$4),"n",IF(AND(input_idealSpringRate&lt;_SpringData_L0!E74,input_idealSpringRate&gt;_SpringData_L0!D74*$B$12),"y","n")),"")</f>
        <v/>
      </c>
      <c r="H74" s="245">
        <v>21</v>
      </c>
      <c r="I74" s="245" t="s">
        <v>897</v>
      </c>
      <c r="J74" s="245">
        <v>1.6</v>
      </c>
      <c r="K74" s="245">
        <f t="shared" si="10"/>
        <v>20.6</v>
      </c>
      <c r="L74" s="245">
        <v>3</v>
      </c>
      <c r="M74" s="245">
        <v>50</v>
      </c>
      <c r="N74" s="245"/>
      <c r="O74" s="245">
        <f t="shared" si="11"/>
        <v>0</v>
      </c>
      <c r="P74" s="245" t="str">
        <f t="shared" si="12"/>
        <v/>
      </c>
      <c r="Q74" s="245">
        <f t="shared" si="13"/>
        <v>0</v>
      </c>
      <c r="R74" s="560" cm="1">
        <f t="array" aca="1" ref="R74" ca="1">_xlfn.XLOOKUP(I74,T_minESABlindWidth[Description],INDIRECT(_xlfn.CONCAT("T_minESABlindWidth[",i_idler,"]")))</f>
        <v>1010</v>
      </c>
      <c r="S74" s="245">
        <f t="shared" ca="1" si="14"/>
        <v>1.01</v>
      </c>
      <c r="T74" s="245"/>
      <c r="U74" s="606" t="str">
        <f t="shared" ca="1" si="9"/>
        <v/>
      </c>
      <c r="V74" s="245"/>
      <c r="W74" s="245"/>
      <c r="X74" s="245"/>
      <c r="Y74" s="245"/>
      <c r="Z74" s="245"/>
      <c r="AA74" s="245"/>
    </row>
    <row r="75" spans="4:27">
      <c r="D75" s="245" t="str">
        <f t="shared" si="16"/>
        <v/>
      </c>
      <c r="E75" s="245" t="str">
        <f t="shared" si="17"/>
        <v/>
      </c>
      <c r="F75" s="245" t="str">
        <f t="shared" si="20"/>
        <v/>
      </c>
      <c r="G75" s="245" t="str">
        <f>IF(P75&lt;&gt;"",IF(OR(input_idealSpringRate&gt;_SpringData_L0!E75,input_idealSpringRate&lt;_SpringData_L0!$D$4),"n",IF(AND(input_idealSpringRate&lt;_SpringData_L0!E75,input_idealSpringRate&gt;_SpringData_L0!D75*$B$12),"y","n")),"")</f>
        <v/>
      </c>
      <c r="H75" s="245">
        <v>22</v>
      </c>
      <c r="I75" s="245" t="s">
        <v>897</v>
      </c>
      <c r="J75" s="245">
        <v>1.6</v>
      </c>
      <c r="K75" s="245">
        <f t="shared" si="10"/>
        <v>20.6</v>
      </c>
      <c r="L75" s="245">
        <v>4</v>
      </c>
      <c r="M75" s="245">
        <v>63</v>
      </c>
      <c r="N75" s="245"/>
      <c r="O75" s="245">
        <f t="shared" si="11"/>
        <v>0</v>
      </c>
      <c r="P75" s="245" t="str">
        <f t="shared" si="12"/>
        <v/>
      </c>
      <c r="Q75" s="245">
        <f t="shared" si="13"/>
        <v>0</v>
      </c>
      <c r="R75" s="560" cm="1">
        <f t="array" aca="1" ref="R75" ca="1">_xlfn.XLOOKUP(I75,T_minESABlindWidth[Description],INDIRECT(_xlfn.CONCAT("T_minESABlindWidth[",i_idler,"]")))</f>
        <v>1010</v>
      </c>
      <c r="S75" s="245">
        <f t="shared" ca="1" si="14"/>
        <v>1.01</v>
      </c>
      <c r="T75" s="245"/>
      <c r="U75" s="606" t="str">
        <f t="shared" ca="1" si="9"/>
        <v/>
      </c>
      <c r="V75" s="245"/>
      <c r="W75" s="245"/>
      <c r="X75" s="245"/>
      <c r="Y75" s="245"/>
      <c r="Z75" s="245"/>
      <c r="AA75" s="245"/>
    </row>
    <row r="76" spans="4:27">
      <c r="D76" s="245" t="str">
        <f t="shared" si="16"/>
        <v/>
      </c>
      <c r="E76" s="245" t="str">
        <f t="shared" si="17"/>
        <v/>
      </c>
      <c r="F76" s="245" t="str">
        <f t="shared" si="20"/>
        <v/>
      </c>
      <c r="G76" s="245" t="str">
        <f>IF(P76&lt;&gt;"",IF(OR(input_idealSpringRate&gt;_SpringData_L0!E76,input_idealSpringRate&lt;_SpringData_L0!$D$4),"n",IF(AND(input_idealSpringRate&lt;_SpringData_L0!E76,input_idealSpringRate&gt;_SpringData_L0!D76*$B$12),"y","n")),"")</f>
        <v/>
      </c>
      <c r="H76" s="245">
        <v>23</v>
      </c>
      <c r="I76" s="245" t="s">
        <v>897</v>
      </c>
      <c r="J76" s="245">
        <v>1.6</v>
      </c>
      <c r="K76" s="245">
        <f t="shared" si="10"/>
        <v>20.6</v>
      </c>
      <c r="L76" s="245">
        <v>5</v>
      </c>
      <c r="M76" s="245">
        <v>77</v>
      </c>
      <c r="N76" s="245"/>
      <c r="O76" s="245">
        <f t="shared" si="11"/>
        <v>0</v>
      </c>
      <c r="P76" s="245" t="str">
        <f t="shared" si="12"/>
        <v/>
      </c>
      <c r="Q76" s="245">
        <f t="shared" si="13"/>
        <v>0</v>
      </c>
      <c r="R76" s="560" cm="1">
        <f t="array" aca="1" ref="R76" ca="1">_xlfn.XLOOKUP(I76,T_minESABlindWidth[Description],INDIRECT(_xlfn.CONCAT("T_minESABlindWidth[",i_idler,"]")))</f>
        <v>1010</v>
      </c>
      <c r="S76" s="245">
        <f t="shared" ca="1" si="14"/>
        <v>1.01</v>
      </c>
      <c r="T76" s="245"/>
      <c r="U76" s="606" t="str">
        <f t="shared" ca="1" si="9"/>
        <v/>
      </c>
      <c r="V76" s="245"/>
      <c r="W76" s="245"/>
      <c r="X76" s="245"/>
      <c r="Y76" s="245"/>
      <c r="Z76" s="245"/>
      <c r="AA76" s="245"/>
    </row>
    <row r="77" spans="4:27">
      <c r="D77" s="245" t="str">
        <f t="shared" si="16"/>
        <v/>
      </c>
      <c r="E77" s="245" t="str">
        <f t="shared" si="17"/>
        <v/>
      </c>
      <c r="F77" s="245" t="str">
        <f t="shared" si="20"/>
        <v/>
      </c>
      <c r="G77" s="245" t="str">
        <f>IF(P77&lt;&gt;"",IF(OR(input_idealSpringRate&gt;_SpringData_L0!E77,input_idealSpringRate&lt;_SpringData_L0!$D$4),"n",IF(AND(input_idealSpringRate&lt;_SpringData_L0!E77,input_idealSpringRate&gt;_SpringData_L0!D77*$B$12),"y","n")),"")</f>
        <v/>
      </c>
      <c r="H77" s="245">
        <v>44</v>
      </c>
      <c r="I77" s="245" t="s">
        <v>902</v>
      </c>
      <c r="J77" s="245">
        <v>1.8</v>
      </c>
      <c r="K77" s="245">
        <f t="shared" si="10"/>
        <v>20.8</v>
      </c>
      <c r="L77" s="245">
        <v>1</v>
      </c>
      <c r="M77" s="245">
        <v>19</v>
      </c>
      <c r="N77" s="245"/>
      <c r="O77" s="245">
        <f t="shared" si="11"/>
        <v>0</v>
      </c>
      <c r="P77" s="245" t="str">
        <f t="shared" si="12"/>
        <v/>
      </c>
      <c r="Q77" s="245">
        <f t="shared" si="13"/>
        <v>0</v>
      </c>
      <c r="R77" s="560" cm="1">
        <f t="array" aca="1" ref="R77" ca="1">_xlfn.XLOOKUP(I77,T_minESABlindWidth[Description],INDIRECT(_xlfn.CONCAT("T_minESABlindWidth[",i_idler,"]")))</f>
        <v>1110</v>
      </c>
      <c r="S77" s="245">
        <f t="shared" ca="1" si="14"/>
        <v>1.1100000000000001</v>
      </c>
      <c r="T77" s="245"/>
      <c r="U77" s="606" t="str">
        <f t="shared" ca="1" si="9"/>
        <v/>
      </c>
      <c r="V77" s="245"/>
      <c r="W77" s="245"/>
      <c r="X77" s="245"/>
      <c r="Y77" s="245"/>
      <c r="Z77" s="245"/>
      <c r="AA77" s="245"/>
    </row>
    <row r="78" spans="4:27">
      <c r="D78" s="245" t="str">
        <f t="shared" si="16"/>
        <v/>
      </c>
      <c r="E78" s="245" t="str">
        <f t="shared" ref="E78:E110" si="21">IF(P78&lt;&gt;"",IF(AND(P78&lt;&gt;"",P78=""),P79*2,AVERAGE(P78:P79)),"")</f>
        <v/>
      </c>
      <c r="F78" s="245" t="str">
        <f t="shared" ref="F78:F109" si="22">IF(G78&lt;&gt;"",IF(islandFilter_option="yes",IF(AND(MATCH(I78,list_boosterDescription,0)&gt;=MATCH(islandfilter_colMax,list_boosterIndex,0),MATCH(I78,list_boosterDescription,0)&gt;=MATCH(islandfilter_rowMax,list_boosterIndex,0)),"y",""),"y"),"")</f>
        <v/>
      </c>
      <c r="G78" s="245" t="str">
        <f>IF(P78&lt;&gt;"",IF(OR(input_idealSpringRate&gt;_SpringData_L0!E78,input_idealSpringRate&lt;_SpringData_L0!$D$4),"n",IF(AND(input_idealSpringRate&lt;_SpringData_L0!E78,input_idealSpringRate&gt;_SpringData_L0!D78*$B$12),"y","n")),"")</f>
        <v/>
      </c>
      <c r="H78" s="245">
        <v>45</v>
      </c>
      <c r="I78" s="245" t="s">
        <v>902</v>
      </c>
      <c r="J78" s="245">
        <v>1.8</v>
      </c>
      <c r="K78" s="245">
        <f t="shared" si="10"/>
        <v>20.8</v>
      </c>
      <c r="L78" s="245">
        <v>2</v>
      </c>
      <c r="M78" s="245">
        <v>30</v>
      </c>
      <c r="N78" s="245"/>
      <c r="O78" s="245">
        <f t="shared" si="11"/>
        <v>0</v>
      </c>
      <c r="P78" s="245" t="str">
        <f t="shared" si="12"/>
        <v/>
      </c>
      <c r="Q78" s="245">
        <f t="shared" si="13"/>
        <v>0</v>
      </c>
      <c r="R78" s="560" cm="1">
        <f t="array" aca="1" ref="R78" ca="1">_xlfn.XLOOKUP(I78,T_minESABlindWidth[Description],INDIRECT(_xlfn.CONCAT("T_minESABlindWidth[",i_idler,"]")))</f>
        <v>1110</v>
      </c>
      <c r="S78" s="245">
        <f t="shared" ca="1" si="14"/>
        <v>1.1100000000000001</v>
      </c>
      <c r="T78" s="245"/>
      <c r="U78" s="606" t="str">
        <f t="shared" ref="U78:U110" ca="1" si="23">IFERROR(ABS((P78-$E$1)/$E$1),"")</f>
        <v/>
      </c>
      <c r="V78" s="245"/>
      <c r="W78" s="245"/>
      <c r="X78" s="245"/>
      <c r="Y78" s="245"/>
      <c r="Z78" s="245"/>
      <c r="AA78" s="245"/>
    </row>
    <row r="79" spans="4:27">
      <c r="D79" s="245" t="str">
        <f t="shared" ref="D79:D110" si="24">IF(LEN(E78)&gt;0,E78*$B$11,"")</f>
        <v/>
      </c>
      <c r="E79" s="245" t="str">
        <f t="shared" si="21"/>
        <v/>
      </c>
      <c r="F79" s="245" t="str">
        <f t="shared" si="22"/>
        <v/>
      </c>
      <c r="G79" s="245" t="str">
        <f>IF(P79&lt;&gt;"",IF(OR(input_idealSpringRate&gt;_SpringData_L0!E79,input_idealSpringRate&lt;_SpringData_L0!$D$4),"n",IF(AND(input_idealSpringRate&lt;_SpringData_L0!E79,input_idealSpringRate&gt;_SpringData_L0!D79*$B$12),"y","n")),"")</f>
        <v/>
      </c>
      <c r="H79" s="245">
        <v>46</v>
      </c>
      <c r="I79" s="245" t="s">
        <v>902</v>
      </c>
      <c r="J79" s="245">
        <v>1.8</v>
      </c>
      <c r="K79" s="245">
        <f t="shared" ref="K79:K110" si="25">J79+$AA$3</f>
        <v>20.8</v>
      </c>
      <c r="L79" s="245">
        <v>3</v>
      </c>
      <c r="M79" s="245">
        <v>42</v>
      </c>
      <c r="N79" s="245"/>
      <c r="O79" s="245">
        <f t="shared" ref="O79:O110" si="26">IFERROR(($X$3*$J79^4*$N79)/(10.8*$M79*$K79*1000),"")</f>
        <v>0</v>
      </c>
      <c r="P79" s="245" t="str">
        <f t="shared" ref="P79:P110" si="27">IFERROR(O79/N79,"")</f>
        <v/>
      </c>
      <c r="Q79" s="245">
        <f t="shared" ref="Q79:Q110" si="28">32000*$O79/(PI()*$J79^3)</f>
        <v>0</v>
      </c>
      <c r="R79" s="560" cm="1">
        <f t="array" aca="1" ref="R79" ca="1">_xlfn.XLOOKUP(I79,T_minESABlindWidth[Description],INDIRECT(_xlfn.CONCAT("T_minESABlindWidth[",i_idler,"]")))</f>
        <v>1110</v>
      </c>
      <c r="S79" s="245">
        <f t="shared" ref="S79:S110" ca="1" si="29">R79*0.001</f>
        <v>1.1100000000000001</v>
      </c>
      <c r="T79" s="245"/>
      <c r="U79" s="606" t="str">
        <f t="shared" ca="1" si="23"/>
        <v/>
      </c>
      <c r="V79" s="245"/>
      <c r="W79" s="245"/>
      <c r="X79" s="245"/>
      <c r="Y79" s="245"/>
      <c r="Z79" s="245"/>
      <c r="AA79" s="245"/>
    </row>
    <row r="80" spans="4:27">
      <c r="D80" s="245" t="str">
        <f t="shared" si="24"/>
        <v/>
      </c>
      <c r="E80" s="245" t="str">
        <f t="shared" si="21"/>
        <v/>
      </c>
      <c r="F80" s="245" t="str">
        <f t="shared" si="22"/>
        <v/>
      </c>
      <c r="G80" s="245" t="str">
        <f>IF(P80&lt;&gt;"",IF(OR(input_idealSpringRate&gt;_SpringData_L0!E80,input_idealSpringRate&lt;_SpringData_L0!$D$4),"n",IF(AND(input_idealSpringRate&lt;_SpringData_L0!E80,input_idealSpringRate&gt;_SpringData_L0!D80*$B$12),"y","n")),"")</f>
        <v/>
      </c>
      <c r="H80" s="245">
        <v>47</v>
      </c>
      <c r="I80" s="245" t="s">
        <v>902</v>
      </c>
      <c r="J80" s="245">
        <v>1.8</v>
      </c>
      <c r="K80" s="245">
        <f t="shared" si="25"/>
        <v>20.8</v>
      </c>
      <c r="L80" s="245">
        <v>4</v>
      </c>
      <c r="M80" s="245">
        <v>54</v>
      </c>
      <c r="N80" s="245"/>
      <c r="O80" s="245">
        <f t="shared" si="26"/>
        <v>0</v>
      </c>
      <c r="P80" s="245" t="str">
        <f t="shared" si="27"/>
        <v/>
      </c>
      <c r="Q80" s="245">
        <f t="shared" si="28"/>
        <v>0</v>
      </c>
      <c r="R80" s="560" cm="1">
        <f t="array" aca="1" ref="R80" ca="1">_xlfn.XLOOKUP(I80,T_minESABlindWidth[Description],INDIRECT(_xlfn.CONCAT("T_minESABlindWidth[",i_idler,"]")))</f>
        <v>1110</v>
      </c>
      <c r="S80" s="245">
        <f t="shared" ca="1" si="29"/>
        <v>1.1100000000000001</v>
      </c>
      <c r="T80" s="245"/>
      <c r="U80" s="606" t="str">
        <f t="shared" ca="1" si="23"/>
        <v/>
      </c>
      <c r="V80" s="245"/>
      <c r="W80" s="245"/>
      <c r="X80" s="245"/>
      <c r="Y80" s="245"/>
      <c r="Z80" s="245"/>
      <c r="AA80" s="245"/>
    </row>
    <row r="81" spans="4:27">
      <c r="D81" s="245" t="str">
        <f t="shared" si="24"/>
        <v/>
      </c>
      <c r="E81" s="245" t="str">
        <f t="shared" si="21"/>
        <v/>
      </c>
      <c r="F81" s="245" t="str">
        <f t="shared" si="22"/>
        <v/>
      </c>
      <c r="G81" s="245" t="str">
        <f>IF(P81&lt;&gt;"",IF(OR(input_idealSpringRate&gt;_SpringData_L0!E81,input_idealSpringRate&lt;_SpringData_L0!$D$4),"n",IF(AND(input_idealSpringRate&lt;_SpringData_L0!E81,input_idealSpringRate&gt;_SpringData_L0!D81*$B$12),"y","n")),"")</f>
        <v/>
      </c>
      <c r="H81" s="245">
        <v>48</v>
      </c>
      <c r="I81" s="245" t="s">
        <v>902</v>
      </c>
      <c r="J81" s="245">
        <v>1.8</v>
      </c>
      <c r="K81" s="245">
        <f t="shared" si="25"/>
        <v>20.8</v>
      </c>
      <c r="L81" s="245">
        <v>5</v>
      </c>
      <c r="M81" s="245">
        <v>66</v>
      </c>
      <c r="N81" s="245"/>
      <c r="O81" s="245">
        <f t="shared" si="26"/>
        <v>0</v>
      </c>
      <c r="P81" s="245" t="str">
        <f t="shared" si="27"/>
        <v/>
      </c>
      <c r="Q81" s="245">
        <f t="shared" si="28"/>
        <v>0</v>
      </c>
      <c r="R81" s="560" cm="1">
        <f t="array" aca="1" ref="R81" ca="1">_xlfn.XLOOKUP(I81,T_minESABlindWidth[Description],INDIRECT(_xlfn.CONCAT("T_minESABlindWidth[",i_idler,"]")))</f>
        <v>1110</v>
      </c>
      <c r="S81" s="245">
        <f t="shared" ca="1" si="29"/>
        <v>1.1100000000000001</v>
      </c>
      <c r="T81" s="245"/>
      <c r="U81" s="606" t="str">
        <f t="shared" ca="1" si="23"/>
        <v/>
      </c>
      <c r="V81" s="245"/>
      <c r="W81" s="245"/>
      <c r="X81" s="245"/>
      <c r="Y81" s="245"/>
      <c r="Z81" s="245"/>
      <c r="AA81" s="245"/>
    </row>
    <row r="82" spans="4:27">
      <c r="D82" s="245" t="str">
        <f t="shared" si="24"/>
        <v/>
      </c>
      <c r="E82" s="245" t="str">
        <f t="shared" si="21"/>
        <v/>
      </c>
      <c r="F82" s="245" t="str">
        <f t="shared" si="22"/>
        <v/>
      </c>
      <c r="G82" s="245" t="str">
        <f>IF(P82&lt;&gt;"",IF(OR(input_idealSpringRate&gt;_SpringData_L0!E82,input_idealSpringRate&lt;_SpringData_L0!$D$4),"n",IF(AND(input_idealSpringRate&lt;_SpringData_L0!E82,input_idealSpringRate&gt;_SpringData_L0!D82*$B$12),"y","n")),"")</f>
        <v/>
      </c>
      <c r="H82" s="245">
        <v>49</v>
      </c>
      <c r="I82" s="245" t="s">
        <v>902</v>
      </c>
      <c r="J82" s="245">
        <v>1.8</v>
      </c>
      <c r="K82" s="245">
        <f t="shared" si="25"/>
        <v>20.8</v>
      </c>
      <c r="L82" s="245">
        <v>6</v>
      </c>
      <c r="M82" s="245">
        <v>77</v>
      </c>
      <c r="N82" s="245"/>
      <c r="O82" s="245">
        <f t="shared" si="26"/>
        <v>0</v>
      </c>
      <c r="P82" s="245" t="str">
        <f t="shared" si="27"/>
        <v/>
      </c>
      <c r="Q82" s="245">
        <f t="shared" si="28"/>
        <v>0</v>
      </c>
      <c r="R82" s="560" cm="1">
        <f t="array" aca="1" ref="R82" ca="1">_xlfn.XLOOKUP(I82,T_minESABlindWidth[Description],INDIRECT(_xlfn.CONCAT("T_minESABlindWidth[",i_idler,"]")))</f>
        <v>1110</v>
      </c>
      <c r="S82" s="245">
        <f t="shared" ca="1" si="29"/>
        <v>1.1100000000000001</v>
      </c>
      <c r="T82" s="245"/>
      <c r="U82" s="606" t="str">
        <f t="shared" ca="1" si="23"/>
        <v/>
      </c>
      <c r="V82" s="245"/>
      <c r="W82" s="245"/>
      <c r="X82" s="245"/>
      <c r="Y82" s="245"/>
      <c r="Z82" s="245"/>
      <c r="AA82" s="245"/>
    </row>
    <row r="83" spans="4:27">
      <c r="D83" s="245" t="str">
        <f t="shared" si="24"/>
        <v/>
      </c>
      <c r="E83" s="245" t="str">
        <f t="shared" si="21"/>
        <v/>
      </c>
      <c r="F83" s="245" t="str">
        <f t="shared" si="22"/>
        <v/>
      </c>
      <c r="G83" s="245" t="str">
        <f>IF(P83&lt;&gt;"",IF(OR(input_idealSpringRate&gt;_SpringData_L0!E83,input_idealSpringRate&lt;_SpringData_L0!$D$4),"n",IF(AND(input_idealSpringRate&lt;_SpringData_L0!E83,input_idealSpringRate&gt;_SpringData_L0!D83*$B$12),"y","n")),"")</f>
        <v/>
      </c>
      <c r="H83" s="245">
        <v>50</v>
      </c>
      <c r="I83" s="245" t="s">
        <v>902</v>
      </c>
      <c r="J83" s="245">
        <v>1.8</v>
      </c>
      <c r="K83" s="245">
        <f t="shared" si="25"/>
        <v>20.8</v>
      </c>
      <c r="L83" s="245">
        <v>7</v>
      </c>
      <c r="M83" s="245">
        <v>89</v>
      </c>
      <c r="N83" s="245"/>
      <c r="O83" s="245">
        <f t="shared" si="26"/>
        <v>0</v>
      </c>
      <c r="P83" s="245" t="str">
        <f t="shared" si="27"/>
        <v/>
      </c>
      <c r="Q83" s="245">
        <f t="shared" si="28"/>
        <v>0</v>
      </c>
      <c r="R83" s="560" cm="1">
        <f t="array" aca="1" ref="R83" ca="1">_xlfn.XLOOKUP(I83,T_minESABlindWidth[Description],INDIRECT(_xlfn.CONCAT("T_minESABlindWidth[",i_idler,"]")))</f>
        <v>1110</v>
      </c>
      <c r="S83" s="245">
        <f t="shared" ca="1" si="29"/>
        <v>1.1100000000000001</v>
      </c>
      <c r="T83" s="245"/>
      <c r="U83" s="606" t="str">
        <f t="shared" ca="1" si="23"/>
        <v/>
      </c>
      <c r="V83" s="245"/>
      <c r="W83" s="245"/>
      <c r="X83" s="245"/>
      <c r="Y83" s="245"/>
      <c r="Z83" s="245"/>
      <c r="AA83" s="245"/>
    </row>
    <row r="84" spans="4:27">
      <c r="D84" s="245" t="str">
        <f t="shared" si="24"/>
        <v/>
      </c>
      <c r="E84" s="245" t="str">
        <f t="shared" si="21"/>
        <v/>
      </c>
      <c r="F84" s="245" t="str">
        <f t="shared" si="22"/>
        <v/>
      </c>
      <c r="G84" s="245" t="str">
        <f>IF(P84&lt;&gt;"",IF(OR(input_idealSpringRate&gt;_SpringData_L0!E84,input_idealSpringRate&lt;_SpringData_L0!$D$4),"n",IF(AND(input_idealSpringRate&lt;_SpringData_L0!E84,input_idealSpringRate&gt;_SpringData_L0!D84*$B$12),"y","n")),"")</f>
        <v/>
      </c>
      <c r="H84" s="245">
        <v>51</v>
      </c>
      <c r="I84" s="245" t="s">
        <v>902</v>
      </c>
      <c r="J84" s="245">
        <v>1.8</v>
      </c>
      <c r="K84" s="245">
        <f t="shared" si="25"/>
        <v>20.8</v>
      </c>
      <c r="L84" s="245">
        <v>8</v>
      </c>
      <c r="M84" s="245">
        <v>101</v>
      </c>
      <c r="N84" s="245"/>
      <c r="O84" s="245">
        <f t="shared" si="26"/>
        <v>0</v>
      </c>
      <c r="P84" s="245" t="str">
        <f t="shared" si="27"/>
        <v/>
      </c>
      <c r="Q84" s="245">
        <f t="shared" si="28"/>
        <v>0</v>
      </c>
      <c r="R84" s="560" cm="1">
        <f t="array" aca="1" ref="R84" ca="1">_xlfn.XLOOKUP(I84,T_minESABlindWidth[Description],INDIRECT(_xlfn.CONCAT("T_minESABlindWidth[",i_idler,"]")))</f>
        <v>1110</v>
      </c>
      <c r="S84" s="245">
        <f t="shared" ca="1" si="29"/>
        <v>1.1100000000000001</v>
      </c>
      <c r="T84" s="245"/>
      <c r="U84" s="606" t="str">
        <f t="shared" ca="1" si="23"/>
        <v/>
      </c>
      <c r="V84" s="245"/>
      <c r="W84" s="245"/>
      <c r="X84" s="245"/>
      <c r="Y84" s="245"/>
      <c r="Z84" s="245"/>
      <c r="AA84" s="245"/>
    </row>
    <row r="85" spans="4:27">
      <c r="D85" s="245" t="str">
        <f t="shared" si="24"/>
        <v/>
      </c>
      <c r="E85" s="245" t="str">
        <f t="shared" si="21"/>
        <v/>
      </c>
      <c r="F85" s="245" t="str">
        <f t="shared" si="22"/>
        <v/>
      </c>
      <c r="G85" s="245" t="str">
        <f>IF(P85&lt;&gt;"",IF(OR(input_idealSpringRate&gt;_SpringData_L0!E85,input_idealSpringRate&lt;_SpringData_L0!$D$4),"n",IF(AND(input_idealSpringRate&lt;_SpringData_L0!E85,input_idealSpringRate&gt;_SpringData_L0!D85*$B$12),"y","n")),"")</f>
        <v/>
      </c>
      <c r="H85" s="245">
        <v>52</v>
      </c>
      <c r="I85" s="245" t="s">
        <v>902</v>
      </c>
      <c r="J85" s="245">
        <v>1.8</v>
      </c>
      <c r="K85" s="245">
        <f t="shared" si="25"/>
        <v>20.8</v>
      </c>
      <c r="L85" s="245">
        <v>9</v>
      </c>
      <c r="M85" s="245">
        <v>113</v>
      </c>
      <c r="N85" s="245"/>
      <c r="O85" s="245">
        <f t="shared" si="26"/>
        <v>0</v>
      </c>
      <c r="P85" s="245" t="str">
        <f t="shared" si="27"/>
        <v/>
      </c>
      <c r="Q85" s="245">
        <f t="shared" si="28"/>
        <v>0</v>
      </c>
      <c r="R85" s="560" cm="1">
        <f t="array" aca="1" ref="R85" ca="1">_xlfn.XLOOKUP(I85,T_minESABlindWidth[Description],INDIRECT(_xlfn.CONCAT("T_minESABlindWidth[",i_idler,"]")))</f>
        <v>1110</v>
      </c>
      <c r="S85" s="245">
        <f t="shared" ca="1" si="29"/>
        <v>1.1100000000000001</v>
      </c>
      <c r="T85" s="245"/>
      <c r="U85" s="606" t="str">
        <f t="shared" ca="1" si="23"/>
        <v/>
      </c>
      <c r="V85" s="245"/>
      <c r="W85" s="245"/>
      <c r="X85" s="245"/>
      <c r="Y85" s="245"/>
      <c r="Z85" s="245"/>
      <c r="AA85" s="245"/>
    </row>
    <row r="86" spans="4:27">
      <c r="D86" s="245" t="str">
        <f t="shared" si="24"/>
        <v/>
      </c>
      <c r="E86" s="245" t="str">
        <f t="shared" si="21"/>
        <v/>
      </c>
      <c r="F86" s="245" t="str">
        <f t="shared" si="22"/>
        <v/>
      </c>
      <c r="G86" s="245" t="str">
        <f>IF(P86&lt;&gt;"",IF(OR(input_idealSpringRate&gt;_SpringData_L0!E86,input_idealSpringRate&lt;_SpringData_L0!$D$4),"n",IF(AND(input_idealSpringRate&lt;_SpringData_L0!E86,input_idealSpringRate&gt;_SpringData_L0!D86*$B$12),"y","n")),"")</f>
        <v/>
      </c>
      <c r="H86" s="245"/>
      <c r="I86" s="245"/>
      <c r="J86" s="245"/>
      <c r="K86" s="245">
        <f t="shared" si="25"/>
        <v>19</v>
      </c>
      <c r="L86" s="245"/>
      <c r="M86" s="245"/>
      <c r="N86" s="245"/>
      <c r="O86" s="245" t="str">
        <f t="shared" si="26"/>
        <v/>
      </c>
      <c r="P86" s="245" t="str">
        <f t="shared" si="27"/>
        <v/>
      </c>
      <c r="Q86" s="245" t="e">
        <f t="shared" si="28"/>
        <v>#VALUE!</v>
      </c>
      <c r="R86" s="245"/>
      <c r="S86" s="245">
        <f t="shared" si="29"/>
        <v>0</v>
      </c>
      <c r="T86" s="245"/>
      <c r="U86" s="606" t="str">
        <f t="shared" ca="1" si="23"/>
        <v/>
      </c>
      <c r="V86" s="245"/>
      <c r="W86" s="245"/>
      <c r="X86" s="245"/>
      <c r="Y86" s="245"/>
      <c r="Z86" s="245"/>
      <c r="AA86" s="245"/>
    </row>
    <row r="87" spans="4:27">
      <c r="D87" s="245" t="str">
        <f t="shared" si="24"/>
        <v/>
      </c>
      <c r="E87" s="245" t="str">
        <f t="shared" si="21"/>
        <v/>
      </c>
      <c r="F87" s="245" t="str">
        <f t="shared" si="22"/>
        <v/>
      </c>
      <c r="G87" s="245" t="str">
        <f>IF(P87&lt;&gt;"",IF(OR(input_idealSpringRate&gt;_SpringData_L0!E87,input_idealSpringRate&lt;_SpringData_L0!$D$4),"n",IF(AND(input_idealSpringRate&lt;_SpringData_L0!E87,input_idealSpringRate&gt;_SpringData_L0!D87*$B$12),"y","n")),"")</f>
        <v/>
      </c>
      <c r="H87" s="245"/>
      <c r="I87" s="245"/>
      <c r="J87" s="245"/>
      <c r="K87" s="245">
        <f t="shared" si="25"/>
        <v>19</v>
      </c>
      <c r="L87" s="245"/>
      <c r="M87" s="245"/>
      <c r="N87" s="245"/>
      <c r="O87" s="245" t="str">
        <f t="shared" si="26"/>
        <v/>
      </c>
      <c r="P87" s="245" t="str">
        <f t="shared" si="27"/>
        <v/>
      </c>
      <c r="Q87" s="245" t="e">
        <f t="shared" si="28"/>
        <v>#VALUE!</v>
      </c>
      <c r="R87" s="245"/>
      <c r="S87" s="245">
        <f t="shared" si="29"/>
        <v>0</v>
      </c>
      <c r="T87" s="245"/>
      <c r="U87" s="606" t="str">
        <f t="shared" ca="1" si="23"/>
        <v/>
      </c>
      <c r="V87" s="245"/>
      <c r="W87" s="245"/>
      <c r="X87" s="245"/>
      <c r="Y87" s="245"/>
      <c r="Z87" s="245"/>
      <c r="AA87" s="245"/>
    </row>
    <row r="88" spans="4:27">
      <c r="D88" s="245" t="str">
        <f t="shared" si="24"/>
        <v/>
      </c>
      <c r="E88" s="245" t="str">
        <f t="shared" si="21"/>
        <v/>
      </c>
      <c r="F88" s="245" t="str">
        <f t="shared" si="22"/>
        <v/>
      </c>
      <c r="G88" s="245" t="str">
        <f>IF(P88&lt;&gt;"",IF(OR(input_idealSpringRate&gt;_SpringData_L0!E88,input_idealSpringRate&lt;_SpringData_L0!$D$4),"n",IF(AND(input_idealSpringRate&lt;_SpringData_L0!E88,input_idealSpringRate&gt;_SpringData_L0!D88*$B$12),"y","n")),"")</f>
        <v/>
      </c>
      <c r="H88" s="245"/>
      <c r="I88" s="245"/>
      <c r="J88" s="245"/>
      <c r="K88" s="245">
        <f t="shared" si="25"/>
        <v>19</v>
      </c>
      <c r="L88" s="245"/>
      <c r="M88" s="245"/>
      <c r="N88" s="245"/>
      <c r="O88" s="245" t="str">
        <f t="shared" si="26"/>
        <v/>
      </c>
      <c r="P88" s="245" t="str">
        <f t="shared" si="27"/>
        <v/>
      </c>
      <c r="Q88" s="245" t="e">
        <f t="shared" si="28"/>
        <v>#VALUE!</v>
      </c>
      <c r="R88" s="245"/>
      <c r="S88" s="245">
        <f t="shared" si="29"/>
        <v>0</v>
      </c>
      <c r="T88" s="245"/>
      <c r="U88" s="606" t="str">
        <f t="shared" ca="1" si="23"/>
        <v/>
      </c>
      <c r="V88" s="245"/>
      <c r="W88" s="245"/>
      <c r="X88" s="245"/>
      <c r="Y88" s="245"/>
      <c r="Z88" s="245"/>
      <c r="AA88" s="245"/>
    </row>
    <row r="89" spans="4:27">
      <c r="D89" s="245" t="str">
        <f t="shared" si="24"/>
        <v/>
      </c>
      <c r="E89" s="245" t="str">
        <f t="shared" si="21"/>
        <v/>
      </c>
      <c r="F89" s="245" t="str">
        <f t="shared" si="22"/>
        <v/>
      </c>
      <c r="G89" s="245" t="str">
        <f>IF(P89&lt;&gt;"",IF(OR(input_idealSpringRate&gt;_SpringData_L0!E89,input_idealSpringRate&lt;_SpringData_L0!$D$4),"n",IF(AND(input_idealSpringRate&lt;_SpringData_L0!E89,input_idealSpringRate&gt;_SpringData_L0!D89*$B$12),"y","n")),"")</f>
        <v/>
      </c>
      <c r="H89" s="245"/>
      <c r="I89" s="245"/>
      <c r="J89" s="245"/>
      <c r="K89" s="245">
        <f t="shared" si="25"/>
        <v>19</v>
      </c>
      <c r="L89" s="245"/>
      <c r="M89" s="245"/>
      <c r="N89" s="245"/>
      <c r="O89" s="245" t="str">
        <f t="shared" si="26"/>
        <v/>
      </c>
      <c r="P89" s="245" t="str">
        <f t="shared" si="27"/>
        <v/>
      </c>
      <c r="Q89" s="245" t="e">
        <f t="shared" si="28"/>
        <v>#VALUE!</v>
      </c>
      <c r="R89" s="245"/>
      <c r="S89" s="245">
        <f t="shared" si="29"/>
        <v>0</v>
      </c>
      <c r="T89" s="245"/>
      <c r="U89" s="606" t="str">
        <f t="shared" ca="1" si="23"/>
        <v/>
      </c>
      <c r="V89" s="245"/>
      <c r="W89" s="245"/>
      <c r="X89" s="245"/>
      <c r="Y89" s="245"/>
      <c r="Z89" s="245"/>
      <c r="AA89" s="245"/>
    </row>
    <row r="90" spans="4:27">
      <c r="D90" s="245" t="str">
        <f t="shared" si="24"/>
        <v/>
      </c>
      <c r="E90" s="245" t="str">
        <f t="shared" si="21"/>
        <v/>
      </c>
      <c r="F90" s="245" t="str">
        <f t="shared" si="22"/>
        <v/>
      </c>
      <c r="G90" s="245" t="str">
        <f>IF(P90&lt;&gt;"",IF(OR(input_idealSpringRate&gt;_SpringData_L0!E90,input_idealSpringRate&lt;_SpringData_L0!$D$4),"n",IF(AND(input_idealSpringRate&lt;_SpringData_L0!E90,input_idealSpringRate&gt;_SpringData_L0!D90*$B$12),"y","n")),"")</f>
        <v/>
      </c>
      <c r="H90" s="245"/>
      <c r="I90" s="245"/>
      <c r="J90" s="245"/>
      <c r="K90" s="245">
        <f t="shared" si="25"/>
        <v>19</v>
      </c>
      <c r="L90" s="245"/>
      <c r="M90" s="245"/>
      <c r="N90" s="245"/>
      <c r="O90" s="245" t="str">
        <f t="shared" si="26"/>
        <v/>
      </c>
      <c r="P90" s="245" t="str">
        <f t="shared" si="27"/>
        <v/>
      </c>
      <c r="Q90" s="245" t="e">
        <f t="shared" si="28"/>
        <v>#VALUE!</v>
      </c>
      <c r="R90" s="245"/>
      <c r="S90" s="245">
        <f t="shared" si="29"/>
        <v>0</v>
      </c>
      <c r="T90" s="245"/>
      <c r="U90" s="606" t="str">
        <f t="shared" ca="1" si="23"/>
        <v/>
      </c>
      <c r="V90" s="245"/>
      <c r="W90" s="245"/>
      <c r="X90" s="245"/>
      <c r="Y90" s="245"/>
      <c r="Z90" s="245"/>
      <c r="AA90" s="245"/>
    </row>
    <row r="91" spans="4:27">
      <c r="D91" s="245" t="str">
        <f t="shared" si="24"/>
        <v/>
      </c>
      <c r="E91" s="245" t="str">
        <f t="shared" si="21"/>
        <v/>
      </c>
      <c r="F91" s="245" t="str">
        <f t="shared" si="22"/>
        <v/>
      </c>
      <c r="G91" s="245" t="str">
        <f>IF(P91&lt;&gt;"",IF(OR(input_idealSpringRate&gt;_SpringData_L0!E91,input_idealSpringRate&lt;_SpringData_L0!$D$4),"n",IF(AND(input_idealSpringRate&lt;_SpringData_L0!E91,input_idealSpringRate&gt;_SpringData_L0!D91*$B$12),"y","n")),"")</f>
        <v/>
      </c>
      <c r="H91" s="245"/>
      <c r="I91" s="245"/>
      <c r="J91" s="245"/>
      <c r="K91" s="245">
        <f t="shared" si="25"/>
        <v>19</v>
      </c>
      <c r="L91" s="245"/>
      <c r="M91" s="245"/>
      <c r="N91" s="245"/>
      <c r="O91" s="245" t="str">
        <f t="shared" si="26"/>
        <v/>
      </c>
      <c r="P91" s="245" t="str">
        <f t="shared" si="27"/>
        <v/>
      </c>
      <c r="Q91" s="245" t="e">
        <f t="shared" si="28"/>
        <v>#VALUE!</v>
      </c>
      <c r="R91" s="245"/>
      <c r="S91" s="245">
        <f t="shared" si="29"/>
        <v>0</v>
      </c>
      <c r="T91" s="245"/>
      <c r="U91" s="606" t="str">
        <f t="shared" ca="1" si="23"/>
        <v/>
      </c>
      <c r="V91" s="245"/>
      <c r="W91" s="245"/>
      <c r="X91" s="245"/>
      <c r="Y91" s="245"/>
      <c r="Z91" s="245"/>
      <c r="AA91" s="245"/>
    </row>
    <row r="92" spans="4:27">
      <c r="D92" s="245" t="str">
        <f t="shared" si="24"/>
        <v/>
      </c>
      <c r="E92" s="245" t="str">
        <f t="shared" si="21"/>
        <v/>
      </c>
      <c r="F92" s="245" t="str">
        <f t="shared" si="22"/>
        <v/>
      </c>
      <c r="G92" s="245" t="str">
        <f>IF(P92&lt;&gt;"",IF(OR(input_idealSpringRate&gt;_SpringData_L0!E92,input_idealSpringRate&lt;_SpringData_L0!$D$4),"n",IF(AND(input_idealSpringRate&lt;_SpringData_L0!E92,input_idealSpringRate&gt;_SpringData_L0!D92*$B$12),"y","n")),"")</f>
        <v/>
      </c>
      <c r="H92" s="245"/>
      <c r="I92" s="245"/>
      <c r="J92" s="245"/>
      <c r="K92" s="245">
        <f t="shared" si="25"/>
        <v>19</v>
      </c>
      <c r="L92" s="245"/>
      <c r="M92" s="245"/>
      <c r="N92" s="245"/>
      <c r="O92" s="245" t="str">
        <f t="shared" si="26"/>
        <v/>
      </c>
      <c r="P92" s="245" t="str">
        <f t="shared" si="27"/>
        <v/>
      </c>
      <c r="Q92" s="245" t="e">
        <f t="shared" si="28"/>
        <v>#VALUE!</v>
      </c>
      <c r="R92" s="245"/>
      <c r="S92" s="245">
        <f t="shared" si="29"/>
        <v>0</v>
      </c>
      <c r="T92" s="245"/>
      <c r="U92" s="606" t="str">
        <f t="shared" ca="1" si="23"/>
        <v/>
      </c>
      <c r="V92" s="245"/>
      <c r="W92" s="245"/>
      <c r="X92" s="245"/>
      <c r="Y92" s="245"/>
      <c r="Z92" s="245"/>
      <c r="AA92" s="245"/>
    </row>
    <row r="93" spans="4:27">
      <c r="D93" s="245" t="str">
        <f t="shared" si="24"/>
        <v/>
      </c>
      <c r="E93" s="245" t="str">
        <f t="shared" si="21"/>
        <v/>
      </c>
      <c r="F93" s="245" t="str">
        <f t="shared" si="22"/>
        <v/>
      </c>
      <c r="G93" s="245" t="str">
        <f>IF(P93&lt;&gt;"",IF(OR(input_idealSpringRate&gt;_SpringData_L0!E93,input_idealSpringRate&lt;_SpringData_L0!$D$4),"n",IF(AND(input_idealSpringRate&lt;_SpringData_L0!E93,input_idealSpringRate&gt;_SpringData_L0!D93*$B$12),"y","n")),"")</f>
        <v/>
      </c>
      <c r="H93" s="245"/>
      <c r="I93" s="245"/>
      <c r="J93" s="245"/>
      <c r="K93" s="245">
        <f t="shared" si="25"/>
        <v>19</v>
      </c>
      <c r="L93" s="245"/>
      <c r="M93" s="245"/>
      <c r="N93" s="245"/>
      <c r="O93" s="245" t="str">
        <f t="shared" si="26"/>
        <v/>
      </c>
      <c r="P93" s="245" t="str">
        <f t="shared" si="27"/>
        <v/>
      </c>
      <c r="Q93" s="245" t="e">
        <f t="shared" si="28"/>
        <v>#VALUE!</v>
      </c>
      <c r="R93" s="245"/>
      <c r="S93" s="245">
        <f t="shared" si="29"/>
        <v>0</v>
      </c>
      <c r="T93" s="245"/>
      <c r="U93" s="606" t="str">
        <f t="shared" ca="1" si="23"/>
        <v/>
      </c>
      <c r="V93" s="245"/>
      <c r="W93" s="245"/>
      <c r="X93" s="245"/>
      <c r="Y93" s="245"/>
      <c r="Z93" s="245"/>
      <c r="AA93" s="245"/>
    </row>
    <row r="94" spans="4:27">
      <c r="D94" s="245" t="str">
        <f t="shared" si="24"/>
        <v/>
      </c>
      <c r="E94" s="245" t="str">
        <f t="shared" si="21"/>
        <v/>
      </c>
      <c r="F94" s="245" t="str">
        <f t="shared" si="22"/>
        <v/>
      </c>
      <c r="G94" s="245" t="str">
        <f>IF(P94&lt;&gt;"",IF(OR(input_idealSpringRate&gt;_SpringData_L0!E94,input_idealSpringRate&lt;_SpringData_L0!$D$4),"n",IF(AND(input_idealSpringRate&lt;_SpringData_L0!E94,input_idealSpringRate&gt;_SpringData_L0!D94*$B$12),"y","n")),"")</f>
        <v/>
      </c>
      <c r="H94" s="245"/>
      <c r="I94" s="245"/>
      <c r="J94" s="245"/>
      <c r="K94" s="245">
        <f t="shared" si="25"/>
        <v>19</v>
      </c>
      <c r="L94" s="245"/>
      <c r="M94" s="245"/>
      <c r="N94" s="245"/>
      <c r="O94" s="245" t="str">
        <f t="shared" si="26"/>
        <v/>
      </c>
      <c r="P94" s="245" t="str">
        <f t="shared" si="27"/>
        <v/>
      </c>
      <c r="Q94" s="245" t="e">
        <f t="shared" si="28"/>
        <v>#VALUE!</v>
      </c>
      <c r="R94" s="245"/>
      <c r="S94" s="245">
        <f t="shared" si="29"/>
        <v>0</v>
      </c>
      <c r="T94" s="245"/>
      <c r="U94" s="606" t="str">
        <f t="shared" ca="1" si="23"/>
        <v/>
      </c>
      <c r="V94" s="245"/>
      <c r="W94" s="245"/>
      <c r="X94" s="245"/>
      <c r="Y94" s="245"/>
      <c r="Z94" s="245"/>
      <c r="AA94" s="245"/>
    </row>
    <row r="95" spans="4:27">
      <c r="D95" s="245" t="str">
        <f t="shared" si="24"/>
        <v/>
      </c>
      <c r="E95" s="245" t="str">
        <f t="shared" si="21"/>
        <v/>
      </c>
      <c r="F95" s="245" t="str">
        <f t="shared" si="22"/>
        <v/>
      </c>
      <c r="G95" s="245" t="str">
        <f>IF(P95&lt;&gt;"",IF(OR(input_idealSpringRate&gt;_SpringData_L0!E95,input_idealSpringRate&lt;_SpringData_L0!$D$4),"n",IF(AND(input_idealSpringRate&lt;_SpringData_L0!E95,input_idealSpringRate&gt;_SpringData_L0!D95*$B$12),"y","n")),"")</f>
        <v/>
      </c>
      <c r="H95" s="245"/>
      <c r="I95" s="245"/>
      <c r="J95" s="245"/>
      <c r="K95" s="245">
        <f t="shared" si="25"/>
        <v>19</v>
      </c>
      <c r="L95" s="245"/>
      <c r="M95" s="245"/>
      <c r="N95" s="245"/>
      <c r="O95" s="245" t="str">
        <f t="shared" si="26"/>
        <v/>
      </c>
      <c r="P95" s="245" t="str">
        <f t="shared" si="27"/>
        <v/>
      </c>
      <c r="Q95" s="245" t="e">
        <f t="shared" si="28"/>
        <v>#VALUE!</v>
      </c>
      <c r="R95" s="245"/>
      <c r="S95" s="245">
        <f t="shared" si="29"/>
        <v>0</v>
      </c>
      <c r="T95" s="245"/>
      <c r="U95" s="606" t="str">
        <f t="shared" ca="1" si="23"/>
        <v/>
      </c>
      <c r="V95" s="245"/>
      <c r="W95" s="245"/>
      <c r="X95" s="245"/>
      <c r="Y95" s="245"/>
      <c r="Z95" s="245"/>
      <c r="AA95" s="245"/>
    </row>
    <row r="96" spans="4:27">
      <c r="D96" s="245" t="str">
        <f t="shared" si="24"/>
        <v/>
      </c>
      <c r="E96" s="245" t="str">
        <f t="shared" si="21"/>
        <v/>
      </c>
      <c r="F96" s="245" t="str">
        <f t="shared" si="22"/>
        <v/>
      </c>
      <c r="G96" s="245" t="str">
        <f>IF(P96&lt;&gt;"",IF(OR(input_idealSpringRate&gt;_SpringData_L0!E96,input_idealSpringRate&lt;_SpringData_L0!$D$4),"n",IF(AND(input_idealSpringRate&lt;_SpringData_L0!E96,input_idealSpringRate&gt;_SpringData_L0!D96*$B$12),"y","n")),"")</f>
        <v/>
      </c>
      <c r="H96" s="245"/>
      <c r="I96" s="245"/>
      <c r="J96" s="245"/>
      <c r="K96" s="245">
        <f t="shared" si="25"/>
        <v>19</v>
      </c>
      <c r="L96" s="245"/>
      <c r="M96" s="245"/>
      <c r="N96" s="245"/>
      <c r="O96" s="245" t="str">
        <f t="shared" si="26"/>
        <v/>
      </c>
      <c r="P96" s="245" t="str">
        <f t="shared" si="27"/>
        <v/>
      </c>
      <c r="Q96" s="245" t="e">
        <f t="shared" si="28"/>
        <v>#VALUE!</v>
      </c>
      <c r="R96" s="245"/>
      <c r="S96" s="245">
        <f t="shared" si="29"/>
        <v>0</v>
      </c>
      <c r="T96" s="245"/>
      <c r="U96" s="606" t="str">
        <f t="shared" ca="1" si="23"/>
        <v/>
      </c>
      <c r="V96" s="245"/>
      <c r="W96" s="245"/>
      <c r="X96" s="245"/>
      <c r="Y96" s="245"/>
      <c r="Z96" s="245"/>
      <c r="AA96" s="245"/>
    </row>
    <row r="97" spans="4:27">
      <c r="D97" s="245" t="str">
        <f t="shared" si="24"/>
        <v/>
      </c>
      <c r="E97" s="245" t="str">
        <f t="shared" si="21"/>
        <v/>
      </c>
      <c r="F97" s="245" t="str">
        <f t="shared" si="22"/>
        <v/>
      </c>
      <c r="G97" s="245" t="str">
        <f>IF(P97&lt;&gt;"",IF(OR(input_idealSpringRate&gt;_SpringData_L0!E97,input_idealSpringRate&lt;_SpringData_L0!$D$4),"n",IF(AND(input_idealSpringRate&lt;_SpringData_L0!E97,input_idealSpringRate&gt;_SpringData_L0!D97*$B$12),"y","n")),"")</f>
        <v/>
      </c>
      <c r="H97" s="245"/>
      <c r="I97" s="245"/>
      <c r="J97" s="245"/>
      <c r="K97" s="245">
        <f t="shared" si="25"/>
        <v>19</v>
      </c>
      <c r="L97" s="245"/>
      <c r="M97" s="245"/>
      <c r="N97" s="245"/>
      <c r="O97" s="245" t="str">
        <f t="shared" si="26"/>
        <v/>
      </c>
      <c r="P97" s="245" t="str">
        <f t="shared" si="27"/>
        <v/>
      </c>
      <c r="Q97" s="245" t="e">
        <f t="shared" si="28"/>
        <v>#VALUE!</v>
      </c>
      <c r="R97" s="245"/>
      <c r="S97" s="245">
        <f t="shared" si="29"/>
        <v>0</v>
      </c>
      <c r="T97" s="245"/>
      <c r="U97" s="606" t="str">
        <f t="shared" ca="1" si="23"/>
        <v/>
      </c>
      <c r="V97" s="245"/>
      <c r="W97" s="245"/>
      <c r="X97" s="245"/>
      <c r="Y97" s="245"/>
      <c r="Z97" s="245"/>
      <c r="AA97" s="245"/>
    </row>
    <row r="98" spans="4:27">
      <c r="D98" s="245" t="str">
        <f t="shared" si="24"/>
        <v/>
      </c>
      <c r="E98" s="245" t="str">
        <f t="shared" si="21"/>
        <v/>
      </c>
      <c r="F98" s="245" t="str">
        <f t="shared" si="22"/>
        <v/>
      </c>
      <c r="G98" s="245" t="str">
        <f>IF(P98&lt;&gt;"",IF(OR(input_idealSpringRate&gt;_SpringData_L0!E98,input_idealSpringRate&lt;_SpringData_L0!$D$4),"n",IF(AND(input_idealSpringRate&lt;_SpringData_L0!E98,input_idealSpringRate&gt;_SpringData_L0!D98*$B$12),"y","n")),"")</f>
        <v/>
      </c>
      <c r="H98" s="245"/>
      <c r="I98" s="245"/>
      <c r="J98" s="245"/>
      <c r="K98" s="245">
        <f t="shared" si="25"/>
        <v>19</v>
      </c>
      <c r="L98" s="245"/>
      <c r="M98" s="245"/>
      <c r="N98" s="245"/>
      <c r="O98" s="245" t="str">
        <f t="shared" si="26"/>
        <v/>
      </c>
      <c r="P98" s="245" t="str">
        <f t="shared" si="27"/>
        <v/>
      </c>
      <c r="Q98" s="245" t="e">
        <f t="shared" si="28"/>
        <v>#VALUE!</v>
      </c>
      <c r="R98" s="245"/>
      <c r="S98" s="245">
        <f t="shared" si="29"/>
        <v>0</v>
      </c>
      <c r="T98" s="245"/>
      <c r="U98" s="606" t="str">
        <f t="shared" ca="1" si="23"/>
        <v/>
      </c>
      <c r="V98" s="245"/>
      <c r="W98" s="245"/>
      <c r="X98" s="245"/>
      <c r="Y98" s="245"/>
      <c r="Z98" s="245"/>
      <c r="AA98" s="245"/>
    </row>
    <row r="99" spans="4:27">
      <c r="D99" s="245" t="str">
        <f t="shared" si="24"/>
        <v/>
      </c>
      <c r="E99" s="245" t="str">
        <f t="shared" si="21"/>
        <v/>
      </c>
      <c r="F99" s="245" t="str">
        <f t="shared" si="22"/>
        <v/>
      </c>
      <c r="G99" s="245" t="str">
        <f>IF(P99&lt;&gt;"",IF(OR(input_idealSpringRate&gt;_SpringData_L0!E99,input_idealSpringRate&lt;_SpringData_L0!$D$4),"n",IF(AND(input_idealSpringRate&lt;_SpringData_L0!E99,input_idealSpringRate&gt;_SpringData_L0!D99*$B$12),"y","n")),"")</f>
        <v/>
      </c>
      <c r="H99" s="245"/>
      <c r="I99" s="245"/>
      <c r="J99" s="245"/>
      <c r="K99" s="245">
        <f t="shared" si="25"/>
        <v>19</v>
      </c>
      <c r="L99" s="245"/>
      <c r="M99" s="245"/>
      <c r="N99" s="245"/>
      <c r="O99" s="245" t="str">
        <f t="shared" si="26"/>
        <v/>
      </c>
      <c r="P99" s="245" t="str">
        <f t="shared" si="27"/>
        <v/>
      </c>
      <c r="Q99" s="245" t="e">
        <f t="shared" si="28"/>
        <v>#VALUE!</v>
      </c>
      <c r="R99" s="245"/>
      <c r="S99" s="245">
        <f t="shared" si="29"/>
        <v>0</v>
      </c>
      <c r="T99" s="245"/>
      <c r="U99" s="606" t="str">
        <f t="shared" ca="1" si="23"/>
        <v/>
      </c>
      <c r="V99" s="245"/>
      <c r="W99" s="245"/>
      <c r="X99" s="245"/>
      <c r="Y99" s="245"/>
      <c r="Z99" s="245"/>
      <c r="AA99" s="245"/>
    </row>
    <row r="100" spans="4:27">
      <c r="D100" s="245" t="str">
        <f t="shared" si="24"/>
        <v/>
      </c>
      <c r="E100" s="245" t="str">
        <f t="shared" si="21"/>
        <v/>
      </c>
      <c r="F100" s="245" t="str">
        <f t="shared" si="22"/>
        <v/>
      </c>
      <c r="G100" s="245" t="str">
        <f>IF(P100&lt;&gt;"",IF(OR(input_idealSpringRate&gt;_SpringData_L0!E100,input_idealSpringRate&lt;_SpringData_L0!$D$4),"n",IF(AND(input_idealSpringRate&lt;_SpringData_L0!E100,input_idealSpringRate&gt;_SpringData_L0!D100*$B$12),"y","n")),"")</f>
        <v/>
      </c>
      <c r="H100" s="245"/>
      <c r="I100" s="245"/>
      <c r="J100" s="245"/>
      <c r="K100" s="245">
        <f t="shared" si="25"/>
        <v>19</v>
      </c>
      <c r="L100" s="245"/>
      <c r="M100" s="245"/>
      <c r="N100" s="245"/>
      <c r="O100" s="245" t="str">
        <f t="shared" si="26"/>
        <v/>
      </c>
      <c r="P100" s="245" t="str">
        <f t="shared" si="27"/>
        <v/>
      </c>
      <c r="Q100" s="245" t="e">
        <f t="shared" si="28"/>
        <v>#VALUE!</v>
      </c>
      <c r="R100" s="245"/>
      <c r="S100" s="245">
        <f t="shared" si="29"/>
        <v>0</v>
      </c>
      <c r="T100" s="245"/>
      <c r="U100" s="606" t="str">
        <f t="shared" ca="1" si="23"/>
        <v/>
      </c>
      <c r="V100" s="245"/>
      <c r="W100" s="245"/>
      <c r="X100" s="245"/>
      <c r="Y100" s="245"/>
      <c r="Z100" s="245"/>
      <c r="AA100" s="245"/>
    </row>
    <row r="101" spans="4:27">
      <c r="D101" s="245" t="str">
        <f t="shared" si="24"/>
        <v/>
      </c>
      <c r="E101" s="245" t="str">
        <f t="shared" si="21"/>
        <v/>
      </c>
      <c r="F101" s="245" t="str">
        <f t="shared" si="22"/>
        <v/>
      </c>
      <c r="G101" s="245" t="str">
        <f>IF(P101&lt;&gt;"",IF(OR(input_idealSpringRate&gt;_SpringData_L0!E101,input_idealSpringRate&lt;_SpringData_L0!$D$4),"n",IF(AND(input_idealSpringRate&lt;_SpringData_L0!E101,input_idealSpringRate&gt;_SpringData_L0!D101*$B$12),"y","n")),"")</f>
        <v/>
      </c>
      <c r="H101" s="245"/>
      <c r="I101" s="245"/>
      <c r="J101" s="245"/>
      <c r="K101" s="245">
        <f t="shared" si="25"/>
        <v>19</v>
      </c>
      <c r="L101" s="245"/>
      <c r="M101" s="245"/>
      <c r="N101" s="245"/>
      <c r="O101" s="245" t="str">
        <f t="shared" si="26"/>
        <v/>
      </c>
      <c r="P101" s="245" t="str">
        <f t="shared" si="27"/>
        <v/>
      </c>
      <c r="Q101" s="245" t="e">
        <f t="shared" si="28"/>
        <v>#VALUE!</v>
      </c>
      <c r="R101" s="245"/>
      <c r="S101" s="245">
        <f t="shared" si="29"/>
        <v>0</v>
      </c>
      <c r="T101" s="245"/>
      <c r="U101" s="606" t="str">
        <f t="shared" ca="1" si="23"/>
        <v/>
      </c>
      <c r="V101" s="245"/>
      <c r="W101" s="245"/>
      <c r="X101" s="245"/>
      <c r="Y101" s="245"/>
      <c r="Z101" s="245"/>
      <c r="AA101" s="245"/>
    </row>
    <row r="102" spans="4:27">
      <c r="D102" s="245" t="str">
        <f t="shared" si="24"/>
        <v/>
      </c>
      <c r="E102" s="245" t="str">
        <f t="shared" si="21"/>
        <v/>
      </c>
      <c r="F102" s="245" t="str">
        <f t="shared" si="22"/>
        <v/>
      </c>
      <c r="G102" s="245" t="str">
        <f>IF(P102&lt;&gt;"",IF(OR(input_idealSpringRate&gt;_SpringData_L0!E102,input_idealSpringRate&lt;_SpringData_L0!$D$4),"n",IF(AND(input_idealSpringRate&lt;_SpringData_L0!E102,input_idealSpringRate&gt;_SpringData_L0!D102*$B$12),"y","n")),"")</f>
        <v/>
      </c>
      <c r="H102" s="245"/>
      <c r="I102" s="245"/>
      <c r="J102" s="245"/>
      <c r="K102" s="245">
        <f t="shared" si="25"/>
        <v>19</v>
      </c>
      <c r="L102" s="245"/>
      <c r="M102" s="245"/>
      <c r="N102" s="245"/>
      <c r="O102" s="245" t="str">
        <f t="shared" si="26"/>
        <v/>
      </c>
      <c r="P102" s="245" t="str">
        <f t="shared" si="27"/>
        <v/>
      </c>
      <c r="Q102" s="245" t="e">
        <f t="shared" si="28"/>
        <v>#VALUE!</v>
      </c>
      <c r="R102" s="245"/>
      <c r="S102" s="245">
        <f t="shared" si="29"/>
        <v>0</v>
      </c>
      <c r="T102" s="245"/>
      <c r="U102" s="606" t="str">
        <f t="shared" ca="1" si="23"/>
        <v/>
      </c>
      <c r="V102" s="245"/>
      <c r="W102" s="245"/>
      <c r="X102" s="245"/>
      <c r="Y102" s="245"/>
      <c r="Z102" s="245"/>
      <c r="AA102" s="245"/>
    </row>
    <row r="103" spans="4:27">
      <c r="D103" s="245" t="str">
        <f t="shared" si="24"/>
        <v/>
      </c>
      <c r="E103" s="245" t="str">
        <f t="shared" si="21"/>
        <v/>
      </c>
      <c r="F103" s="245" t="str">
        <f t="shared" si="22"/>
        <v/>
      </c>
      <c r="G103" s="245" t="str">
        <f>IF(P103&lt;&gt;"",IF(OR(input_idealSpringRate&gt;_SpringData_L0!E103,input_idealSpringRate&lt;_SpringData_L0!$D$4),"n",IF(AND(input_idealSpringRate&lt;_SpringData_L0!E103,input_idealSpringRate&gt;_SpringData_L0!D103*$B$12),"y","n")),"")</f>
        <v/>
      </c>
      <c r="H103" s="245"/>
      <c r="I103" s="245"/>
      <c r="J103" s="245"/>
      <c r="K103" s="245">
        <f t="shared" si="25"/>
        <v>19</v>
      </c>
      <c r="L103" s="245"/>
      <c r="M103" s="245"/>
      <c r="N103" s="245"/>
      <c r="O103" s="245" t="str">
        <f t="shared" si="26"/>
        <v/>
      </c>
      <c r="P103" s="245" t="str">
        <f t="shared" si="27"/>
        <v/>
      </c>
      <c r="Q103" s="245" t="e">
        <f t="shared" si="28"/>
        <v>#VALUE!</v>
      </c>
      <c r="R103" s="245"/>
      <c r="S103" s="245">
        <f t="shared" si="29"/>
        <v>0</v>
      </c>
      <c r="T103" s="245"/>
      <c r="U103" s="606" t="str">
        <f t="shared" ca="1" si="23"/>
        <v/>
      </c>
      <c r="V103" s="245"/>
      <c r="W103" s="245"/>
      <c r="X103" s="245"/>
      <c r="Y103" s="245"/>
      <c r="Z103" s="245"/>
      <c r="AA103" s="245"/>
    </row>
    <row r="104" spans="4:27">
      <c r="D104" s="245" t="str">
        <f t="shared" si="24"/>
        <v/>
      </c>
      <c r="E104" s="245" t="str">
        <f t="shared" si="21"/>
        <v/>
      </c>
      <c r="F104" s="245" t="str">
        <f t="shared" si="22"/>
        <v/>
      </c>
      <c r="G104" s="245" t="str">
        <f>IF(P104&lt;&gt;"",IF(OR(input_idealSpringRate&gt;_SpringData_L0!E104,input_idealSpringRate&lt;_SpringData_L0!$D$4),"n",IF(AND(input_idealSpringRate&lt;_SpringData_L0!E104,input_idealSpringRate&gt;_SpringData_L0!D104*$B$12),"y","n")),"")</f>
        <v/>
      </c>
      <c r="H104" s="245"/>
      <c r="I104" s="245"/>
      <c r="J104" s="245"/>
      <c r="K104" s="245">
        <f t="shared" si="25"/>
        <v>19</v>
      </c>
      <c r="L104" s="245"/>
      <c r="M104" s="245"/>
      <c r="N104" s="245"/>
      <c r="O104" s="245" t="str">
        <f t="shared" si="26"/>
        <v/>
      </c>
      <c r="P104" s="245" t="str">
        <f t="shared" si="27"/>
        <v/>
      </c>
      <c r="Q104" s="245" t="e">
        <f t="shared" si="28"/>
        <v>#VALUE!</v>
      </c>
      <c r="R104" s="245"/>
      <c r="S104" s="245">
        <f t="shared" si="29"/>
        <v>0</v>
      </c>
      <c r="T104" s="245"/>
      <c r="U104" s="606" t="str">
        <f t="shared" ca="1" si="23"/>
        <v/>
      </c>
      <c r="V104" s="245"/>
      <c r="W104" s="245"/>
      <c r="X104" s="245"/>
      <c r="Y104" s="245"/>
      <c r="Z104" s="245"/>
      <c r="AA104" s="245"/>
    </row>
    <row r="105" spans="4:27">
      <c r="D105" s="245" t="str">
        <f t="shared" si="24"/>
        <v/>
      </c>
      <c r="E105" s="245" t="str">
        <f t="shared" si="21"/>
        <v/>
      </c>
      <c r="F105" s="245" t="str">
        <f t="shared" si="22"/>
        <v/>
      </c>
      <c r="G105" s="245" t="str">
        <f>IF(P105&lt;&gt;"",IF(OR(input_idealSpringRate&gt;_SpringData_L0!E105,input_idealSpringRate&lt;_SpringData_L0!$D$4),"n",IF(AND(input_idealSpringRate&lt;_SpringData_L0!E105,input_idealSpringRate&gt;_SpringData_L0!D105*$B$12),"y","n")),"")</f>
        <v/>
      </c>
      <c r="H105" s="245"/>
      <c r="I105" s="245"/>
      <c r="J105" s="245"/>
      <c r="K105" s="245">
        <f t="shared" si="25"/>
        <v>19</v>
      </c>
      <c r="L105" s="245"/>
      <c r="M105" s="245"/>
      <c r="N105" s="245"/>
      <c r="O105" s="245" t="str">
        <f t="shared" si="26"/>
        <v/>
      </c>
      <c r="P105" s="245" t="str">
        <f t="shared" si="27"/>
        <v/>
      </c>
      <c r="Q105" s="245" t="e">
        <f t="shared" si="28"/>
        <v>#VALUE!</v>
      </c>
      <c r="R105" s="245"/>
      <c r="S105" s="245">
        <f t="shared" si="29"/>
        <v>0</v>
      </c>
      <c r="T105" s="245"/>
      <c r="U105" s="606" t="str">
        <f t="shared" ca="1" si="23"/>
        <v/>
      </c>
      <c r="V105" s="245"/>
      <c r="W105" s="245"/>
      <c r="X105" s="245"/>
      <c r="Y105" s="245"/>
      <c r="Z105" s="245"/>
      <c r="AA105" s="245"/>
    </row>
    <row r="106" spans="4:27">
      <c r="D106" s="245" t="str">
        <f t="shared" si="24"/>
        <v/>
      </c>
      <c r="E106" s="245" t="str">
        <f t="shared" si="21"/>
        <v/>
      </c>
      <c r="F106" s="245" t="str">
        <f t="shared" si="22"/>
        <v/>
      </c>
      <c r="G106" s="245" t="str">
        <f>IF(P106&lt;&gt;"",IF(OR(input_idealSpringRate&gt;_SpringData_L0!E106,input_idealSpringRate&lt;_SpringData_L0!$D$4),"n",IF(AND(input_idealSpringRate&lt;_SpringData_L0!E106,input_idealSpringRate&gt;_SpringData_L0!D106*$B$12),"y","n")),"")</f>
        <v/>
      </c>
      <c r="H106" s="245"/>
      <c r="I106" s="245"/>
      <c r="J106" s="245"/>
      <c r="K106" s="245">
        <f t="shared" si="25"/>
        <v>19</v>
      </c>
      <c r="L106" s="245"/>
      <c r="M106" s="245"/>
      <c r="N106" s="245"/>
      <c r="O106" s="245" t="str">
        <f t="shared" si="26"/>
        <v/>
      </c>
      <c r="P106" s="245" t="str">
        <f t="shared" si="27"/>
        <v/>
      </c>
      <c r="Q106" s="245" t="e">
        <f t="shared" si="28"/>
        <v>#VALUE!</v>
      </c>
      <c r="R106" s="245"/>
      <c r="S106" s="245">
        <f t="shared" si="29"/>
        <v>0</v>
      </c>
      <c r="T106" s="245"/>
      <c r="U106" s="606" t="str">
        <f t="shared" ca="1" si="23"/>
        <v/>
      </c>
      <c r="V106" s="245"/>
      <c r="W106" s="245"/>
      <c r="X106" s="245"/>
      <c r="Y106" s="245"/>
      <c r="Z106" s="245"/>
      <c r="AA106" s="245"/>
    </row>
    <row r="107" spans="4:27">
      <c r="D107" s="245" t="str">
        <f t="shared" si="24"/>
        <v/>
      </c>
      <c r="E107" s="245" t="str">
        <f t="shared" si="21"/>
        <v/>
      </c>
      <c r="F107" s="245" t="str">
        <f t="shared" si="22"/>
        <v/>
      </c>
      <c r="G107" s="245" t="str">
        <f>IF(P107&lt;&gt;"",IF(OR(input_idealSpringRate&gt;_SpringData_L0!E107,input_idealSpringRate&lt;_SpringData_L0!$D$4),"n",IF(AND(input_idealSpringRate&lt;_SpringData_L0!E107,input_idealSpringRate&gt;_SpringData_L0!D107*$B$12),"y","n")),"")</f>
        <v/>
      </c>
      <c r="H107" s="245"/>
      <c r="I107" s="245"/>
      <c r="J107" s="245"/>
      <c r="K107" s="245">
        <f t="shared" si="25"/>
        <v>19</v>
      </c>
      <c r="L107" s="245"/>
      <c r="M107" s="245"/>
      <c r="N107" s="245"/>
      <c r="O107" s="245" t="str">
        <f t="shared" si="26"/>
        <v/>
      </c>
      <c r="P107" s="245" t="str">
        <f t="shared" si="27"/>
        <v/>
      </c>
      <c r="Q107" s="245" t="e">
        <f t="shared" si="28"/>
        <v>#VALUE!</v>
      </c>
      <c r="R107" s="245"/>
      <c r="S107" s="245">
        <f t="shared" si="29"/>
        <v>0</v>
      </c>
      <c r="T107" s="245"/>
      <c r="U107" s="606" t="str">
        <f t="shared" ca="1" si="23"/>
        <v/>
      </c>
      <c r="V107" s="245"/>
      <c r="W107" s="245"/>
      <c r="X107" s="245"/>
      <c r="Y107" s="245"/>
      <c r="Z107" s="245"/>
      <c r="AA107" s="245"/>
    </row>
    <row r="108" spans="4:27">
      <c r="D108" s="245" t="str">
        <f t="shared" si="24"/>
        <v/>
      </c>
      <c r="E108" s="245" t="str">
        <f t="shared" si="21"/>
        <v/>
      </c>
      <c r="F108" s="245" t="str">
        <f t="shared" si="22"/>
        <v/>
      </c>
      <c r="G108" s="245" t="str">
        <f>IF(P108&lt;&gt;"",IF(OR(input_idealSpringRate&gt;_SpringData_L0!E108,input_idealSpringRate&lt;_SpringData_L0!$D$4),"n",IF(AND(input_idealSpringRate&lt;_SpringData_L0!E108,input_idealSpringRate&gt;_SpringData_L0!D108*$B$12),"y","n")),"")</f>
        <v/>
      </c>
      <c r="H108" s="245"/>
      <c r="I108" s="245"/>
      <c r="J108" s="245"/>
      <c r="K108" s="245">
        <f t="shared" si="25"/>
        <v>19</v>
      </c>
      <c r="L108" s="245"/>
      <c r="M108" s="245"/>
      <c r="N108" s="245"/>
      <c r="O108" s="245" t="str">
        <f t="shared" si="26"/>
        <v/>
      </c>
      <c r="P108" s="245" t="str">
        <f t="shared" si="27"/>
        <v/>
      </c>
      <c r="Q108" s="245" t="e">
        <f t="shared" si="28"/>
        <v>#VALUE!</v>
      </c>
      <c r="R108" s="245"/>
      <c r="S108" s="245">
        <f t="shared" si="29"/>
        <v>0</v>
      </c>
      <c r="T108" s="245"/>
      <c r="U108" s="606" t="str">
        <f t="shared" ca="1" si="23"/>
        <v/>
      </c>
      <c r="V108" s="245"/>
      <c r="W108" s="245"/>
      <c r="X108" s="245"/>
      <c r="Y108" s="245"/>
      <c r="Z108" s="245"/>
      <c r="AA108" s="245"/>
    </row>
    <row r="109" spans="4:27">
      <c r="D109" s="245" t="str">
        <f t="shared" si="24"/>
        <v/>
      </c>
      <c r="E109" s="245" t="str">
        <f t="shared" si="21"/>
        <v/>
      </c>
      <c r="F109" s="245" t="str">
        <f t="shared" si="22"/>
        <v/>
      </c>
      <c r="G109" s="245" t="str">
        <f>IF(P109&lt;&gt;"",IF(OR(input_idealSpringRate&gt;_SpringData_L0!E109,input_idealSpringRate&lt;_SpringData_L0!$D$4),"n",IF(AND(input_idealSpringRate&lt;_SpringData_L0!E109,input_idealSpringRate&gt;_SpringData_L0!D109*$B$12),"y","n")),"")</f>
        <v/>
      </c>
      <c r="H109" s="245"/>
      <c r="I109" s="245"/>
      <c r="J109" s="245"/>
      <c r="K109" s="245">
        <f t="shared" si="25"/>
        <v>19</v>
      </c>
      <c r="L109" s="245"/>
      <c r="M109" s="245"/>
      <c r="N109" s="245"/>
      <c r="O109" s="245" t="str">
        <f t="shared" si="26"/>
        <v/>
      </c>
      <c r="P109" s="245" t="str">
        <f t="shared" si="27"/>
        <v/>
      </c>
      <c r="Q109" s="245" t="e">
        <f t="shared" si="28"/>
        <v>#VALUE!</v>
      </c>
      <c r="R109" s="245"/>
      <c r="S109" s="245">
        <f t="shared" si="29"/>
        <v>0</v>
      </c>
      <c r="T109" s="245"/>
      <c r="U109" s="606" t="str">
        <f t="shared" ca="1" si="23"/>
        <v/>
      </c>
      <c r="V109" s="245"/>
      <c r="W109" s="245"/>
      <c r="X109" s="245"/>
      <c r="Y109" s="245"/>
      <c r="Z109" s="245"/>
      <c r="AA109" s="245"/>
    </row>
    <row r="110" spans="4:27">
      <c r="D110" s="245" t="str">
        <f t="shared" si="24"/>
        <v/>
      </c>
      <c r="E110" s="245" t="str">
        <f t="shared" si="21"/>
        <v/>
      </c>
      <c r="F110" s="245" t="str">
        <f t="shared" ref="F110" si="30">IF(G110&lt;&gt;"",IF(islandFilter_option="yes",IF(AND(MATCH(I110,list_boosterDescription,0)&gt;=MATCH(islandfilter_colMax,list_boosterIndex,0),MATCH(I110,list_boosterDescription,0)&gt;=MATCH(islandfilter_rowMax,list_boosterIndex,0)),"y",""),"y"),"")</f>
        <v/>
      </c>
      <c r="G110" s="245" t="str">
        <f>IF(P110&lt;&gt;"",IF(OR(input_idealSpringRate&gt;_SpringData_L0!E110,input_idealSpringRate&lt;_SpringData_L0!$D$4),"n",IF(AND(input_idealSpringRate&lt;_SpringData_L0!E110,input_idealSpringRate&gt;_SpringData_L0!D110*$B$12),"y","n")),"")</f>
        <v/>
      </c>
      <c r="H110" s="245"/>
      <c r="I110" s="245"/>
      <c r="J110" s="245"/>
      <c r="K110" s="245">
        <f t="shared" si="25"/>
        <v>19</v>
      </c>
      <c r="L110" s="245"/>
      <c r="M110" s="245"/>
      <c r="N110" s="245"/>
      <c r="O110" s="245" t="str">
        <f t="shared" si="26"/>
        <v/>
      </c>
      <c r="P110" s="245" t="str">
        <f t="shared" si="27"/>
        <v/>
      </c>
      <c r="Q110" s="245" t="e">
        <f t="shared" si="28"/>
        <v>#VALUE!</v>
      </c>
      <c r="R110" s="245"/>
      <c r="S110" s="245">
        <f t="shared" si="29"/>
        <v>0</v>
      </c>
      <c r="T110" s="245"/>
      <c r="U110" s="606" t="str">
        <f t="shared" ca="1" si="23"/>
        <v/>
      </c>
      <c r="V110" s="245"/>
      <c r="W110" s="245"/>
      <c r="X110" s="245"/>
      <c r="Y110" s="245"/>
      <c r="Z110" s="245"/>
      <c r="AA110" s="245"/>
    </row>
  </sheetData>
  <autoFilter ref="D3:Z110" xr:uid="{C25B64C2-B01E-4123-9C88-627C83C9DEEA}"/>
  <conditionalFormatting sqref="D4:V114">
    <cfRule type="expression" dxfId="44" priority="3">
      <formula>$G4="y"</formula>
    </cfRule>
  </conditionalFormatting>
  <conditionalFormatting sqref="R4:R110">
    <cfRule type="colorScale" priority="1">
      <colorScale>
        <cfvo type="min"/>
        <cfvo type="max"/>
        <color rgb="FFF8696B"/>
        <color theme="4" tint="-0.249977111117893"/>
      </colorScale>
    </cfRule>
  </conditionalFormatting>
  <pageMargins left="0.7" right="0.7" top="0.75" bottom="0.75" header="0.3" footer="0.3"/>
  <pageSetup paperSize="9" orientation="portrait" r:id="rId1"/>
  <ignoredErrors>
    <ignoredError sqref="E5 E6:E12" formulaRange="1"/>
  </ignoredError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anchor moveWithCells="1" sizeWithCells="1">
                  <from>
                    <xdr:col>0</xdr:col>
                    <xdr:colOff>298450</xdr:colOff>
                    <xdr:row>0</xdr:row>
                    <xdr:rowOff>222250</xdr:rowOff>
                  </from>
                  <to>
                    <xdr:col>1</xdr:col>
                    <xdr:colOff>527050</xdr:colOff>
                    <xdr:row>4</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27F77-8B5F-489C-B154-E977F61C71C9}">
  <sheetPr codeName="Sheet21"/>
  <dimension ref="A1:AD108"/>
  <sheetViews>
    <sheetView showGridLines="0" showRowColHeaders="0" showRuler="0" workbookViewId="0"/>
  </sheetViews>
  <sheetFormatPr defaultRowHeight="14.5"/>
  <cols>
    <col min="1" max="1" width="25.453125" customWidth="1"/>
    <col min="2" max="2" width="25" customWidth="1"/>
    <col min="4" max="4" width="15.81640625" customWidth="1"/>
    <col min="5" max="6" width="24.54296875" customWidth="1"/>
    <col min="7" max="7" width="13.453125" customWidth="1"/>
    <col min="8" max="8" width="14" bestFit="1" customWidth="1"/>
    <col min="19" max="19" width="13.453125" bestFit="1" customWidth="1"/>
    <col min="21" max="21" width="17.54296875" customWidth="1"/>
  </cols>
  <sheetData>
    <row r="1" spans="1:30" ht="18.5">
      <c r="D1" s="557" t="s">
        <v>905</v>
      </c>
      <c r="P1" s="556"/>
      <c r="Q1" s="556"/>
    </row>
    <row r="2" spans="1:30">
      <c r="P2" s="556"/>
      <c r="Q2" s="556"/>
    </row>
    <row r="3" spans="1:30">
      <c r="A3" s="190" t="s">
        <v>906</v>
      </c>
      <c r="P3" s="556"/>
      <c r="Q3" s="556"/>
    </row>
    <row r="4" spans="1:30">
      <c r="A4" s="245" t="s">
        <v>907</v>
      </c>
      <c r="B4" s="564">
        <v>5</v>
      </c>
      <c r="D4" s="786" t="s">
        <v>908</v>
      </c>
      <c r="E4" s="786"/>
      <c r="F4" s="786"/>
      <c r="G4" t="s">
        <v>909</v>
      </c>
      <c r="P4" s="556"/>
      <c r="Q4" s="556"/>
    </row>
    <row r="5" spans="1:30" ht="43.5">
      <c r="A5" s="190" t="s">
        <v>914</v>
      </c>
      <c r="D5" s="562" t="s">
        <v>910</v>
      </c>
      <c r="E5" s="245" t="s">
        <v>911</v>
      </c>
      <c r="F5" s="245" t="s">
        <v>912</v>
      </c>
      <c r="G5" s="245" t="s">
        <v>913</v>
      </c>
      <c r="H5" s="565" t="str" cm="1">
        <f t="array" ref="H5:AD5">locHeader_modSpringData_L0</f>
        <v>LL Spring Rate</v>
      </c>
      <c r="I5" t="str">
        <v>UL Spring Rate</v>
      </c>
      <c r="J5" t="str">
        <v>Local Switch</v>
      </c>
      <c r="K5" t="str">
        <v>Booster Rate Check</v>
      </c>
      <c r="L5" t="str">
        <v>Options</v>
      </c>
      <c r="M5" t="str">
        <v>Booster</v>
      </c>
      <c r="N5" t="str">
        <v>Wire ø (mm)</v>
      </c>
      <c r="O5" t="str">
        <v>mean coil ID</v>
      </c>
      <c r="P5" t="str">
        <v>Position</v>
      </c>
      <c r="Q5" t="str">
        <v>Number of coils</v>
      </c>
      <c r="R5" t="str">
        <v>Max Turns</v>
      </c>
      <c r="S5" t="str">
        <v>T_Max</v>
      </c>
      <c r="T5" t="str">
        <v>Nom. Spring Rate</v>
      </c>
      <c r="U5" t="str">
        <v>Bending stress (Mpa)</v>
      </c>
      <c r="V5" t="str">
        <v>Min blind width w idler(TBC) mm</v>
      </c>
      <c r="W5" t="str">
        <v>Min. Width (m)</v>
      </c>
      <c r="X5">
        <v>38.6</v>
      </c>
      <c r="Y5" t="str">
        <v>Rate Var %</v>
      </c>
      <c r="Z5" t="str">
        <v>Spring Flag</v>
      </c>
      <c r="AA5" t="str">
        <v>mod of Elast</v>
      </c>
      <c r="AB5">
        <v>207000</v>
      </c>
      <c r="AC5">
        <v>0</v>
      </c>
      <c r="AD5" t="str">
        <v>internal coil ID</v>
      </c>
    </row>
    <row r="6" spans="1:30">
      <c r="A6" s="245" t="s">
        <v>968</v>
      </c>
      <c r="B6" s="567">
        <f>input_BlindWidth</f>
        <v>1</v>
      </c>
      <c r="D6" s="566" t="str">
        <f t="shared" ref="D6:D37" ca="1" si="0">IF(AND(OFFSET(H6,0,$B$27-1)&gt;0,OFFSET(H6,0,$B$27-1)&lt;&gt;""),logic1_FudgedTurns+$B$60/OFFSET(H6,0,$B$27-1),"")</f>
        <v/>
      </c>
      <c r="E6" s="566" t="str">
        <f t="shared" ref="E6:E37" ca="1" si="1">IF(D6&lt;&gt;"",D6+0.5*$B$61,"")</f>
        <v/>
      </c>
      <c r="F6" s="566" t="str">
        <f t="shared" ref="F6:F37" ca="1" si="2">IF(D6&lt;&gt;"",D6-0.5*input_totalBlindTurns,"")</f>
        <v/>
      </c>
      <c r="G6" s="566" t="str">
        <f t="shared" ref="G6:G37" ca="1" si="3">IF(E6&lt;&gt;"",IF(AND(E6&lt;OFFSET(H6,0,$B$28-1),F6&gt;0),"y","n"),"")</f>
        <v/>
      </c>
      <c r="H6" t="e" cm="1">
        <f t="array" aca="1" ref="H6" ca="1">_xlfn._xlws.FILTER(locTable_modSpringData_L0,(INDEX(locTable_modSpringData_L0,,B25)&lt;loc_BlindWidth)*(INDEX(locTable_modSpringData_L0,,B26)="y")*(INDEX(locTable_modSpringData_L0,,B29)="y")*(INDEX(locTable_modSpringData_L0,,B30)="y")*(INDEX(locTable_modSpringData_L0,,B31)&lt;=B20),"")</f>
        <v>#DIV/0!</v>
      </c>
    </row>
    <row r="7" spans="1:30">
      <c r="A7" s="245" t="s">
        <v>969</v>
      </c>
      <c r="B7" s="567">
        <f>input_BlindDrop</f>
        <v>2</v>
      </c>
      <c r="D7" s="566" t="str">
        <f t="shared" ca="1" si="0"/>
        <v/>
      </c>
      <c r="E7" s="566" t="str">
        <f t="shared" ca="1" si="1"/>
        <v/>
      </c>
      <c r="F7" s="566" t="str">
        <f t="shared" ca="1" si="2"/>
        <v/>
      </c>
      <c r="G7" s="566" t="str">
        <f t="shared" ca="1" si="3"/>
        <v/>
      </c>
    </row>
    <row r="8" spans="1:30">
      <c r="A8" s="245" t="s">
        <v>970</v>
      </c>
      <c r="B8" s="245">
        <f>Design_Width1</f>
        <v>0</v>
      </c>
      <c r="D8" s="566" t="str">
        <f t="shared" ca="1" si="0"/>
        <v/>
      </c>
      <c r="E8" s="566" t="str">
        <f t="shared" ca="1" si="1"/>
        <v/>
      </c>
      <c r="F8" s="566" t="str">
        <f t="shared" ca="1" si="2"/>
        <v/>
      </c>
      <c r="G8" s="566" t="str">
        <f t="shared" ca="1" si="3"/>
        <v/>
      </c>
    </row>
    <row r="9" spans="1:30">
      <c r="A9" s="245" t="s">
        <v>971</v>
      </c>
      <c r="B9" s="245">
        <f>Design_Drop</f>
        <v>0</v>
      </c>
      <c r="D9" s="566" t="str">
        <f t="shared" ca="1" si="0"/>
        <v/>
      </c>
      <c r="E9" s="566" t="str">
        <f t="shared" ca="1" si="1"/>
        <v/>
      </c>
      <c r="F9" s="566" t="str">
        <f t="shared" ca="1" si="2"/>
        <v/>
      </c>
      <c r="G9" s="566" t="str">
        <f t="shared" ca="1" si="3"/>
        <v/>
      </c>
    </row>
    <row r="10" spans="1:30">
      <c r="D10" s="566" t="str">
        <f t="shared" ca="1" si="0"/>
        <v/>
      </c>
      <c r="E10" s="566" t="str">
        <f t="shared" ca="1" si="1"/>
        <v/>
      </c>
      <c r="F10" s="566" t="str">
        <f t="shared" ca="1" si="2"/>
        <v/>
      </c>
      <c r="G10" s="566" t="str">
        <f t="shared" ca="1" si="3"/>
        <v/>
      </c>
    </row>
    <row r="11" spans="1:30">
      <c r="D11" s="566" t="str">
        <f t="shared" ca="1" si="0"/>
        <v/>
      </c>
      <c r="E11" s="566" t="str">
        <f t="shared" ca="1" si="1"/>
        <v/>
      </c>
      <c r="F11" s="566" t="str">
        <f t="shared" ca="1" si="2"/>
        <v/>
      </c>
      <c r="G11" s="566" t="str">
        <f t="shared" ca="1" si="3"/>
        <v/>
      </c>
    </row>
    <row r="12" spans="1:30">
      <c r="A12" s="190" t="s">
        <v>915</v>
      </c>
      <c r="D12" s="566" t="str">
        <f t="shared" ca="1" si="0"/>
        <v/>
      </c>
      <c r="E12" s="566" t="str">
        <f t="shared" ca="1" si="1"/>
        <v/>
      </c>
      <c r="F12" s="566" t="str">
        <f t="shared" ca="1" si="2"/>
        <v/>
      </c>
      <c r="G12" s="566" t="str">
        <f t="shared" ca="1" si="3"/>
        <v/>
      </c>
    </row>
    <row r="13" spans="1:30">
      <c r="A13" s="245" t="s">
        <v>916</v>
      </c>
      <c r="B13" s="245" t="e">
        <f>(-Tube_OD+SQRT(Tube_OD^2-4*Fabric_Thickness*-loc_BlindDrop*1000/PI()))/(2*Fabric_Thickness)</f>
        <v>#N/A</v>
      </c>
      <c r="D13" s="566" t="str">
        <f t="shared" ca="1" si="0"/>
        <v/>
      </c>
      <c r="E13" s="566" t="str">
        <f t="shared" ca="1" si="1"/>
        <v/>
      </c>
      <c r="F13" s="566" t="str">
        <f t="shared" ca="1" si="2"/>
        <v/>
      </c>
      <c r="G13" s="566" t="str">
        <f t="shared" ca="1" si="3"/>
        <v/>
      </c>
    </row>
    <row r="14" spans="1:30">
      <c r="A14" s="245" t="s">
        <v>917</v>
      </c>
      <c r="B14" s="568" t="e">
        <f>(((g*(wb_Ballast_UnitMass*loc_BlindWidth+Fabric_Density*loc_BlindWidth*(_SpringData_L1!$B16))*((((_SpringData_L1!$B15*0.5)-Fabric_Thickness*($B13/2)))/1000)/1))/(1+SF_Lifting))</f>
        <v>#N/A</v>
      </c>
      <c r="D14" s="566" t="str">
        <f t="shared" ca="1" si="0"/>
        <v/>
      </c>
      <c r="E14" s="566" t="str">
        <f t="shared" ca="1" si="1"/>
        <v/>
      </c>
      <c r="F14" s="566" t="str">
        <f t="shared" ca="1" si="2"/>
        <v/>
      </c>
      <c r="G14" s="566" t="str">
        <f t="shared" ca="1" si="3"/>
        <v/>
      </c>
    </row>
    <row r="15" spans="1:30">
      <c r="A15" s="245" t="s">
        <v>918</v>
      </c>
      <c r="B15" s="566" t="e">
        <f>((-Tube_OD+SQRT(Tube_OD^2-4*Fabric_Thickness*-loc_BlindDrop*1000/PI()))/(2*Fabric_Thickness)+i_pwa)*Fabric_Thickness*2+Tube_OD</f>
        <v>#N/A</v>
      </c>
      <c r="D15" s="566" t="str">
        <f t="shared" ca="1" si="0"/>
        <v/>
      </c>
      <c r="E15" s="566" t="str">
        <f t="shared" ca="1" si="1"/>
        <v/>
      </c>
      <c r="F15" s="566" t="str">
        <f t="shared" ca="1" si="2"/>
        <v/>
      </c>
      <c r="G15" s="566" t="str">
        <f t="shared" ca="1" si="3"/>
        <v/>
      </c>
    </row>
    <row r="16" spans="1:30">
      <c r="A16" s="245" t="s">
        <v>919</v>
      </c>
      <c r="B16" s="245" t="e">
        <f>loc_BlindDrop-((PI()/1000)*((_SpringData_L1!B13/2)*Tube_OD+Fabric_Thickness*(_SpringData_L1!B13/2)^2))</f>
        <v>#N/A</v>
      </c>
      <c r="D16" s="566" t="str">
        <f t="shared" ca="1" si="0"/>
        <v/>
      </c>
      <c r="E16" s="566" t="str">
        <f t="shared" ca="1" si="1"/>
        <v/>
      </c>
      <c r="F16" s="566" t="str">
        <f t="shared" ca="1" si="2"/>
        <v/>
      </c>
      <c r="G16" s="566" t="str">
        <f t="shared" ca="1" si="3"/>
        <v/>
      </c>
    </row>
    <row r="17" spans="1:7">
      <c r="A17" s="245" t="s">
        <v>954</v>
      </c>
      <c r="B17" s="245" t="e">
        <f ca="1">ESA_IdealSpringRate</f>
        <v>#DIV/0!</v>
      </c>
      <c r="D17" s="566" t="str">
        <f t="shared" ca="1" si="0"/>
        <v/>
      </c>
      <c r="E17" s="566" t="str">
        <f t="shared" ca="1" si="1"/>
        <v/>
      </c>
      <c r="F17" s="566" t="str">
        <f t="shared" ca="1" si="2"/>
        <v/>
      </c>
      <c r="G17" s="566" t="str">
        <f t="shared" ca="1" si="3"/>
        <v/>
      </c>
    </row>
    <row r="18" spans="1:7">
      <c r="D18" s="566" t="str">
        <f t="shared" ca="1" si="0"/>
        <v/>
      </c>
      <c r="E18" s="566" t="str">
        <f t="shared" ca="1" si="1"/>
        <v/>
      </c>
      <c r="F18" s="566" t="str">
        <f t="shared" ca="1" si="2"/>
        <v/>
      </c>
      <c r="G18" s="566" t="str">
        <f t="shared" ca="1" si="3"/>
        <v/>
      </c>
    </row>
    <row r="19" spans="1:7">
      <c r="A19" s="190" t="s">
        <v>991</v>
      </c>
      <c r="D19" s="566" t="str">
        <f t="shared" ca="1" si="0"/>
        <v/>
      </c>
      <c r="E19" s="566" t="str">
        <f t="shared" ca="1" si="1"/>
        <v/>
      </c>
      <c r="F19" s="566" t="str">
        <f t="shared" ca="1" si="2"/>
        <v/>
      </c>
      <c r="G19" s="566" t="str">
        <f t="shared" ca="1" si="3"/>
        <v/>
      </c>
    </row>
    <row r="20" spans="1:7">
      <c r="A20" s="245" t="s">
        <v>992</v>
      </c>
      <c r="B20" s="615">
        <v>1.7</v>
      </c>
      <c r="D20" s="566" t="str">
        <f t="shared" ca="1" si="0"/>
        <v/>
      </c>
      <c r="E20" s="566" t="str">
        <f t="shared" ca="1" si="1"/>
        <v/>
      </c>
      <c r="F20" s="566" t="str">
        <f t="shared" ca="1" si="2"/>
        <v/>
      </c>
      <c r="G20" s="566" t="str">
        <f t="shared" ca="1" si="3"/>
        <v/>
      </c>
    </row>
    <row r="21" spans="1:7">
      <c r="D21" s="566" t="str">
        <f t="shared" ca="1" si="0"/>
        <v/>
      </c>
      <c r="E21" s="566" t="str">
        <f t="shared" ca="1" si="1"/>
        <v/>
      </c>
      <c r="F21" s="566" t="str">
        <f t="shared" ca="1" si="2"/>
        <v/>
      </c>
      <c r="G21" s="566" t="str">
        <f t="shared" ca="1" si="3"/>
        <v/>
      </c>
    </row>
    <row r="22" spans="1:7">
      <c r="D22" s="566" t="str">
        <f t="shared" ca="1" si="0"/>
        <v/>
      </c>
      <c r="E22" s="566" t="str">
        <f t="shared" ca="1" si="1"/>
        <v/>
      </c>
      <c r="F22" s="566" t="str">
        <f t="shared" ca="1" si="2"/>
        <v/>
      </c>
      <c r="G22" s="566" t="str">
        <f t="shared" ca="1" si="3"/>
        <v/>
      </c>
    </row>
    <row r="23" spans="1:7">
      <c r="A23" s="190" t="s">
        <v>920</v>
      </c>
      <c r="B23" t="s">
        <v>921</v>
      </c>
      <c r="D23" s="566" t="str">
        <f t="shared" ca="1" si="0"/>
        <v/>
      </c>
      <c r="E23" s="566" t="str">
        <f t="shared" ca="1" si="1"/>
        <v/>
      </c>
      <c r="F23" s="566" t="str">
        <f t="shared" ca="1" si="2"/>
        <v/>
      </c>
      <c r="G23" s="566" t="str">
        <f t="shared" ca="1" si="3"/>
        <v/>
      </c>
    </row>
    <row r="24" spans="1:7">
      <c r="A24" s="245" t="s">
        <v>871</v>
      </c>
      <c r="B24" s="245">
        <f t="shared" ref="B24:B29" si="4">MATCH(A24,locHeader_modSpringData_L0,0)</f>
        <v>1</v>
      </c>
      <c r="D24" s="566" t="str">
        <f t="shared" ca="1" si="0"/>
        <v/>
      </c>
      <c r="E24" s="566" t="str">
        <f t="shared" ca="1" si="1"/>
        <v/>
      </c>
      <c r="F24" s="566" t="str">
        <f t="shared" ca="1" si="2"/>
        <v/>
      </c>
      <c r="G24" s="566" t="str">
        <f t="shared" ca="1" si="3"/>
        <v/>
      </c>
    </row>
    <row r="25" spans="1:7">
      <c r="A25" s="245" t="s">
        <v>883</v>
      </c>
      <c r="B25" s="245">
        <f t="shared" si="4"/>
        <v>16</v>
      </c>
      <c r="D25" s="566" t="str">
        <f t="shared" ca="1" si="0"/>
        <v/>
      </c>
      <c r="E25" s="566" t="str">
        <f t="shared" ca="1" si="1"/>
        <v/>
      </c>
      <c r="F25" s="566" t="str">
        <f t="shared" ca="1" si="2"/>
        <v/>
      </c>
      <c r="G25" s="566" t="str">
        <f t="shared" ca="1" si="3"/>
        <v/>
      </c>
    </row>
    <row r="26" spans="1:7">
      <c r="A26" s="245" t="s">
        <v>874</v>
      </c>
      <c r="B26" s="245">
        <f t="shared" si="4"/>
        <v>4</v>
      </c>
      <c r="D26" s="566" t="str">
        <f t="shared" ca="1" si="0"/>
        <v/>
      </c>
      <c r="E26" s="566" t="str">
        <f t="shared" ca="1" si="1"/>
        <v/>
      </c>
      <c r="F26" s="566" t="str">
        <f t="shared" ca="1" si="2"/>
        <v/>
      </c>
      <c r="G26" s="566" t="str">
        <f t="shared" ca="1" si="3"/>
        <v/>
      </c>
    </row>
    <row r="27" spans="1:7">
      <c r="A27" s="245" t="s">
        <v>880</v>
      </c>
      <c r="B27" s="245">
        <f t="shared" si="4"/>
        <v>13</v>
      </c>
      <c r="D27" s="566" t="str">
        <f t="shared" ca="1" si="0"/>
        <v/>
      </c>
      <c r="E27" s="566" t="str">
        <f t="shared" ca="1" si="1"/>
        <v/>
      </c>
      <c r="F27" s="566" t="str">
        <f t="shared" ca="1" si="2"/>
        <v/>
      </c>
      <c r="G27" s="566" t="str">
        <f t="shared" ca="1" si="3"/>
        <v/>
      </c>
    </row>
    <row r="28" spans="1:7">
      <c r="A28" s="245" t="s">
        <v>56</v>
      </c>
      <c r="B28" s="245">
        <f>MATCH(A28,locHeader_modSpringData_L0,0)</f>
        <v>11</v>
      </c>
      <c r="D28" s="566" t="str">
        <f t="shared" ca="1" si="0"/>
        <v/>
      </c>
      <c r="E28" s="566" t="str">
        <f t="shared" ca="1" si="1"/>
        <v/>
      </c>
      <c r="F28" s="566" t="str">
        <f t="shared" ca="1" si="2"/>
        <v/>
      </c>
      <c r="G28" s="566" t="str">
        <f t="shared" ca="1" si="3"/>
        <v/>
      </c>
    </row>
    <row r="29" spans="1:7">
      <c r="A29" s="245" t="s">
        <v>873</v>
      </c>
      <c r="B29" s="245">
        <f t="shared" si="4"/>
        <v>3</v>
      </c>
      <c r="D29" s="566" t="str">
        <f t="shared" ca="1" si="0"/>
        <v/>
      </c>
      <c r="E29" s="566" t="str">
        <f t="shared" ca="1" si="1"/>
        <v/>
      </c>
      <c r="F29" s="566" t="str">
        <f t="shared" ca="1" si="2"/>
        <v/>
      </c>
      <c r="G29" s="566" t="str">
        <f t="shared" ca="1" si="3"/>
        <v/>
      </c>
    </row>
    <row r="30" spans="1:7">
      <c r="A30" s="245" t="s">
        <v>993</v>
      </c>
      <c r="B30" s="245">
        <f>MATCH(A30,locHeader_modSpringData_L0,0)</f>
        <v>19</v>
      </c>
      <c r="D30" s="566" t="str">
        <f t="shared" ca="1" si="0"/>
        <v/>
      </c>
      <c r="E30" s="566" t="str">
        <f t="shared" ca="1" si="1"/>
        <v/>
      </c>
      <c r="F30" s="566" t="str">
        <f t="shared" ca="1" si="2"/>
        <v/>
      </c>
      <c r="G30" s="566" t="str">
        <f t="shared" ca="1" si="3"/>
        <v/>
      </c>
    </row>
    <row r="31" spans="1:7">
      <c r="A31" s="245" t="s">
        <v>988</v>
      </c>
      <c r="B31" s="245">
        <f>MATCH(A31,locHeader_modSpringData_L0,0)</f>
        <v>18</v>
      </c>
      <c r="D31" s="566" t="str">
        <f t="shared" ca="1" si="0"/>
        <v/>
      </c>
      <c r="E31" s="566" t="str">
        <f t="shared" ca="1" si="1"/>
        <v/>
      </c>
      <c r="F31" s="566" t="str">
        <f t="shared" ca="1" si="2"/>
        <v/>
      </c>
      <c r="G31" s="566" t="str">
        <f t="shared" ca="1" si="3"/>
        <v/>
      </c>
    </row>
    <row r="32" spans="1:7">
      <c r="D32" s="566" t="str">
        <f t="shared" ca="1" si="0"/>
        <v/>
      </c>
      <c r="E32" s="566" t="str">
        <f t="shared" ca="1" si="1"/>
        <v/>
      </c>
      <c r="F32" s="566" t="str">
        <f t="shared" ca="1" si="2"/>
        <v/>
      </c>
      <c r="G32" s="566" t="str">
        <f t="shared" ca="1" si="3"/>
        <v/>
      </c>
    </row>
    <row r="33" spans="1:7">
      <c r="D33" s="566" t="str">
        <f t="shared" ca="1" si="0"/>
        <v/>
      </c>
      <c r="E33" s="566" t="str">
        <f t="shared" ca="1" si="1"/>
        <v/>
      </c>
      <c r="F33" s="566" t="str">
        <f t="shared" ca="1" si="2"/>
        <v/>
      </c>
      <c r="G33" s="566" t="str">
        <f t="shared" ca="1" si="3"/>
        <v/>
      </c>
    </row>
    <row r="34" spans="1:7">
      <c r="A34" s="190" t="s">
        <v>922</v>
      </c>
      <c r="D34" s="566" t="str">
        <f t="shared" ca="1" si="0"/>
        <v/>
      </c>
      <c r="E34" s="566" t="str">
        <f t="shared" ca="1" si="1"/>
        <v/>
      </c>
      <c r="F34" s="566" t="str">
        <f t="shared" ca="1" si="2"/>
        <v/>
      </c>
      <c r="G34" s="566" t="str">
        <f t="shared" ca="1" si="3"/>
        <v/>
      </c>
    </row>
    <row r="35" spans="1:7">
      <c r="A35" s="569" t="s">
        <v>923</v>
      </c>
      <c r="B35" s="569">
        <f>COUNTA(D5:AC5)</f>
        <v>26</v>
      </c>
      <c r="D35" s="566" t="str">
        <f t="shared" ca="1" si="0"/>
        <v/>
      </c>
      <c r="E35" s="566" t="str">
        <f t="shared" ca="1" si="1"/>
        <v/>
      </c>
      <c r="F35" s="566" t="str">
        <f t="shared" ca="1" si="2"/>
        <v/>
      </c>
      <c r="G35" s="566" t="str">
        <f t="shared" ca="1" si="3"/>
        <v/>
      </c>
    </row>
    <row r="36" spans="1:7">
      <c r="A36" s="569" t="s">
        <v>924</v>
      </c>
      <c r="B36" s="569">
        <v>103</v>
      </c>
      <c r="D36" s="566" t="str">
        <f t="shared" ca="1" si="0"/>
        <v/>
      </c>
      <c r="E36" s="566" t="str">
        <f t="shared" ca="1" si="1"/>
        <v/>
      </c>
      <c r="F36" s="566" t="str">
        <f t="shared" ca="1" si="2"/>
        <v/>
      </c>
      <c r="G36" s="566" t="str">
        <f t="shared" ca="1" si="3"/>
        <v/>
      </c>
    </row>
    <row r="37" spans="1:7">
      <c r="D37" s="566" t="str">
        <f t="shared" ca="1" si="0"/>
        <v/>
      </c>
      <c r="E37" s="566" t="str">
        <f t="shared" ca="1" si="1"/>
        <v/>
      </c>
      <c r="F37" s="566" t="str">
        <f t="shared" ca="1" si="2"/>
        <v/>
      </c>
      <c r="G37" s="566" t="str">
        <f t="shared" ca="1" si="3"/>
        <v/>
      </c>
    </row>
    <row r="38" spans="1:7">
      <c r="D38" s="566" t="str">
        <f t="shared" ref="D38:D69" ca="1" si="5">IF(AND(OFFSET(H38,0,$B$27-1)&gt;0,OFFSET(H38,0,$B$27-1)&lt;&gt;""),logic1_FudgedTurns+$B$60/OFFSET(H38,0,$B$27-1),"")</f>
        <v/>
      </c>
      <c r="E38" s="566" t="str">
        <f t="shared" ref="E38:E69" ca="1" si="6">IF(D38&lt;&gt;"",D38+0.5*$B$61,"")</f>
        <v/>
      </c>
      <c r="F38" s="566" t="str">
        <f t="shared" ref="F38:F69" ca="1" si="7">IF(D38&lt;&gt;"",D38-0.5*input_totalBlindTurns,"")</f>
        <v/>
      </c>
      <c r="G38" s="566" t="str">
        <f t="shared" ref="G38:G69" ca="1" si="8">IF(E38&lt;&gt;"",IF(AND(E38&lt;OFFSET(H38,0,$B$28-1),F38&gt;0),"y","n"),"")</f>
        <v/>
      </c>
    </row>
    <row r="39" spans="1:7">
      <c r="A39" s="190" t="s">
        <v>925</v>
      </c>
      <c r="D39" s="566" t="str">
        <f t="shared" ca="1" si="5"/>
        <v/>
      </c>
      <c r="E39" s="566" t="str">
        <f t="shared" ca="1" si="6"/>
        <v/>
      </c>
      <c r="F39" s="566" t="str">
        <f t="shared" ca="1" si="7"/>
        <v/>
      </c>
      <c r="G39" s="566" t="str">
        <f t="shared" ca="1" si="8"/>
        <v/>
      </c>
    </row>
    <row r="40" spans="1:7">
      <c r="A40" s="245" t="s">
        <v>926</v>
      </c>
      <c r="B40" s="568">
        <f ca="1">_SpringData_L2!E3</f>
        <v>0</v>
      </c>
      <c r="D40" s="566" t="str">
        <f t="shared" ca="1" si="5"/>
        <v/>
      </c>
      <c r="E40" s="566" t="str">
        <f t="shared" ca="1" si="6"/>
        <v/>
      </c>
      <c r="F40" s="566" t="str">
        <f t="shared" ca="1" si="7"/>
        <v/>
      </c>
      <c r="G40" s="566" t="str">
        <f t="shared" ca="1" si="8"/>
        <v/>
      </c>
    </row>
    <row r="41" spans="1:7">
      <c r="A41" s="245" t="s">
        <v>927</v>
      </c>
      <c r="B41" s="568">
        <f ca="1">o_BoosterPreTurn</f>
        <v>0</v>
      </c>
      <c r="D41" s="566" t="str">
        <f t="shared" ca="1" si="5"/>
        <v/>
      </c>
      <c r="E41" s="566" t="str">
        <f t="shared" ca="1" si="6"/>
        <v/>
      </c>
      <c r="F41" s="566" t="str">
        <f t="shared" ca="1" si="7"/>
        <v/>
      </c>
      <c r="G41" s="566" t="str">
        <f t="shared" ca="1" si="8"/>
        <v/>
      </c>
    </row>
    <row r="42" spans="1:7">
      <c r="B42" s="528"/>
      <c r="D42" s="566" t="str">
        <f t="shared" ca="1" si="5"/>
        <v/>
      </c>
      <c r="E42" s="566" t="str">
        <f t="shared" ca="1" si="6"/>
        <v/>
      </c>
      <c r="F42" s="566" t="str">
        <f t="shared" ca="1" si="7"/>
        <v/>
      </c>
      <c r="G42" s="566" t="str">
        <f t="shared" ca="1" si="8"/>
        <v/>
      </c>
    </row>
    <row r="43" spans="1:7">
      <c r="A43" t="s">
        <v>928</v>
      </c>
      <c r="B43" s="528"/>
      <c r="D43" s="566" t="str">
        <f t="shared" ca="1" si="5"/>
        <v/>
      </c>
      <c r="E43" s="566" t="str">
        <f t="shared" ca="1" si="6"/>
        <v/>
      </c>
      <c r="F43" s="566" t="str">
        <f t="shared" ca="1" si="7"/>
        <v/>
      </c>
      <c r="G43" s="566" t="str">
        <f t="shared" ca="1" si="8"/>
        <v/>
      </c>
    </row>
    <row r="44" spans="1:7">
      <c r="A44" s="245" t="s">
        <v>865</v>
      </c>
      <c r="B44" s="568" t="e">
        <f ca="1">blindtorque_a</f>
        <v>#VALUE!</v>
      </c>
      <c r="D44" s="566" t="str">
        <f t="shared" ca="1" si="5"/>
        <v/>
      </c>
      <c r="E44" s="566" t="str">
        <f t="shared" ca="1" si="6"/>
        <v/>
      </c>
      <c r="F44" s="566" t="str">
        <f t="shared" ca="1" si="7"/>
        <v/>
      </c>
      <c r="G44" s="566" t="str">
        <f t="shared" ca="1" si="8"/>
        <v/>
      </c>
    </row>
    <row r="45" spans="1:7">
      <c r="A45" s="245" t="s">
        <v>866</v>
      </c>
      <c r="B45" s="568">
        <f ca="1">OFFSET(blindtorque_a,,1)</f>
        <v>0</v>
      </c>
      <c r="D45" s="566" t="str">
        <f t="shared" ca="1" si="5"/>
        <v/>
      </c>
      <c r="E45" s="566" t="str">
        <f t="shared" ca="1" si="6"/>
        <v/>
      </c>
      <c r="F45" s="566" t="str">
        <f t="shared" ca="1" si="7"/>
        <v/>
      </c>
      <c r="G45" s="566" t="str">
        <f t="shared" ca="1" si="8"/>
        <v/>
      </c>
    </row>
    <row r="46" spans="1:7">
      <c r="A46" s="245" t="s">
        <v>867</v>
      </c>
      <c r="B46" s="568">
        <f ca="1">OFFSET(blindtorque_a,,2)</f>
        <v>0</v>
      </c>
      <c r="D46" s="566" t="str">
        <f t="shared" ca="1" si="5"/>
        <v/>
      </c>
      <c r="E46" s="566" t="str">
        <f t="shared" ca="1" si="6"/>
        <v/>
      </c>
      <c r="F46" s="566" t="str">
        <f t="shared" ca="1" si="7"/>
        <v/>
      </c>
      <c r="G46" s="566" t="str">
        <f t="shared" ca="1" si="8"/>
        <v/>
      </c>
    </row>
    <row r="47" spans="1:7">
      <c r="B47" s="528"/>
      <c r="D47" s="566" t="str">
        <f t="shared" ca="1" si="5"/>
        <v/>
      </c>
      <c r="E47" s="566" t="str">
        <f t="shared" ca="1" si="6"/>
        <v/>
      </c>
      <c r="F47" s="566" t="str">
        <f t="shared" ca="1" si="7"/>
        <v/>
      </c>
      <c r="G47" s="566" t="str">
        <f t="shared" ca="1" si="8"/>
        <v/>
      </c>
    </row>
    <row r="48" spans="1:7">
      <c r="A48" t="s">
        <v>929</v>
      </c>
      <c r="B48" s="528"/>
      <c r="D48" s="566" t="str">
        <f t="shared" ca="1" si="5"/>
        <v/>
      </c>
      <c r="E48" s="566" t="str">
        <f t="shared" ca="1" si="6"/>
        <v/>
      </c>
      <c r="F48" s="566" t="str">
        <f t="shared" ca="1" si="7"/>
        <v/>
      </c>
      <c r="G48" s="566" t="str">
        <f t="shared" ca="1" si="8"/>
        <v/>
      </c>
    </row>
    <row r="49" spans="1:7">
      <c r="A49" t="s">
        <v>930</v>
      </c>
      <c r="B49" s="528" t="e">
        <f ca="1">(B40-B45)/(2*B44)</f>
        <v>#VALUE!</v>
      </c>
      <c r="D49" s="566" t="str">
        <f t="shared" ca="1" si="5"/>
        <v/>
      </c>
      <c r="E49" s="566" t="str">
        <f t="shared" ca="1" si="6"/>
        <v/>
      </c>
      <c r="F49" s="566" t="str">
        <f t="shared" ca="1" si="7"/>
        <v/>
      </c>
      <c r="G49" s="566" t="str">
        <f t="shared" ca="1" si="8"/>
        <v/>
      </c>
    </row>
    <row r="50" spans="1:7">
      <c r="A50" s="570" t="s">
        <v>931</v>
      </c>
      <c r="B50" s="570" t="s">
        <v>932</v>
      </c>
      <c r="D50" s="566" t="str">
        <f t="shared" ca="1" si="5"/>
        <v/>
      </c>
      <c r="E50" s="566" t="str">
        <f t="shared" ca="1" si="6"/>
        <v/>
      </c>
      <c r="F50" s="566" t="str">
        <f t="shared" ca="1" si="7"/>
        <v/>
      </c>
      <c r="G50" s="566" t="str">
        <f t="shared" ca="1" si="8"/>
        <v/>
      </c>
    </row>
    <row r="51" spans="1:7">
      <c r="A51" s="560">
        <v>0</v>
      </c>
      <c r="B51" s="571">
        <f ca="1">B46-(B41*B40)</f>
        <v>0</v>
      </c>
      <c r="D51" s="566" t="str">
        <f t="shared" ca="1" si="5"/>
        <v/>
      </c>
      <c r="E51" s="566" t="str">
        <f t="shared" ca="1" si="6"/>
        <v/>
      </c>
      <c r="F51" s="566" t="str">
        <f t="shared" ca="1" si="7"/>
        <v/>
      </c>
      <c r="G51" s="566" t="str">
        <f t="shared" ca="1" si="8"/>
        <v/>
      </c>
    </row>
    <row r="52" spans="1:7">
      <c r="A52" s="571" t="e">
        <f ca="1">B49</f>
        <v>#VALUE!</v>
      </c>
      <c r="B52" s="571" t="e">
        <f ca="1">$B$44*A52^2+($B$45-$B$40)*A52+($B$46-$B$41*B40)</f>
        <v>#VALUE!</v>
      </c>
      <c r="D52" s="566" t="str">
        <f t="shared" ca="1" si="5"/>
        <v/>
      </c>
      <c r="E52" s="566" t="str">
        <f t="shared" ca="1" si="6"/>
        <v/>
      </c>
      <c r="F52" s="566" t="str">
        <f t="shared" ca="1" si="7"/>
        <v/>
      </c>
      <c r="G52" s="566" t="str">
        <f t="shared" ca="1" si="8"/>
        <v/>
      </c>
    </row>
    <row r="53" spans="1:7">
      <c r="A53" s="571" t="e">
        <f>B61</f>
        <v>#N/A</v>
      </c>
      <c r="B53" s="571" t="e">
        <f ca="1">$B$44*A53^2+($B$45-$B$40)*A53+($B$46-$B$41*B40)</f>
        <v>#VALUE!</v>
      </c>
      <c r="D53" s="566" t="str">
        <f t="shared" ca="1" si="5"/>
        <v/>
      </c>
      <c r="E53" s="566" t="str">
        <f t="shared" ca="1" si="6"/>
        <v/>
      </c>
      <c r="F53" s="566" t="str">
        <f t="shared" ca="1" si="7"/>
        <v/>
      </c>
      <c r="G53" s="566" t="str">
        <f t="shared" ca="1" si="8"/>
        <v/>
      </c>
    </row>
    <row r="54" spans="1:7">
      <c r="A54" s="245" t="s">
        <v>933</v>
      </c>
      <c r="B54" s="568" t="e" cm="1">
        <f t="array" aca="1" ref="B54" ca="1">MAX(ABS(B51:B53))</f>
        <v>#VALUE!</v>
      </c>
      <c r="D54" s="566" t="str">
        <f t="shared" ca="1" si="5"/>
        <v/>
      </c>
      <c r="E54" s="566" t="str">
        <f t="shared" ca="1" si="6"/>
        <v/>
      </c>
      <c r="F54" s="566" t="str">
        <f t="shared" ca="1" si="7"/>
        <v/>
      </c>
      <c r="G54" s="566" t="str">
        <f t="shared" ca="1" si="8"/>
        <v/>
      </c>
    </row>
    <row r="55" spans="1:7">
      <c r="D55" s="566" t="str">
        <f t="shared" ca="1" si="5"/>
        <v/>
      </c>
      <c r="E55" s="566" t="str">
        <f t="shared" ca="1" si="6"/>
        <v/>
      </c>
      <c r="F55" s="566" t="str">
        <f t="shared" ca="1" si="7"/>
        <v/>
      </c>
      <c r="G55" s="566" t="str">
        <f t="shared" ca="1" si="8"/>
        <v/>
      </c>
    </row>
    <row r="56" spans="1:7">
      <c r="D56" s="566" t="str">
        <f t="shared" ca="1" si="5"/>
        <v/>
      </c>
      <c r="E56" s="566" t="str">
        <f t="shared" ca="1" si="6"/>
        <v/>
      </c>
      <c r="F56" s="566" t="str">
        <f t="shared" ca="1" si="7"/>
        <v/>
      </c>
      <c r="G56" s="566" t="str">
        <f t="shared" ca="1" si="8"/>
        <v/>
      </c>
    </row>
    <row r="57" spans="1:7">
      <c r="A57" s="190" t="s">
        <v>934</v>
      </c>
      <c r="D57" s="566" t="str">
        <f t="shared" ca="1" si="5"/>
        <v/>
      </c>
      <c r="E57" s="566" t="str">
        <f t="shared" ca="1" si="6"/>
        <v/>
      </c>
      <c r="F57" s="566" t="str">
        <f t="shared" ca="1" si="7"/>
        <v/>
      </c>
      <c r="G57" s="566" t="str">
        <f t="shared" ca="1" si="8"/>
        <v/>
      </c>
    </row>
    <row r="58" spans="1:7">
      <c r="D58" s="566" t="str">
        <f t="shared" ca="1" si="5"/>
        <v/>
      </c>
      <c r="E58" s="566" t="str">
        <f t="shared" ca="1" si="6"/>
        <v/>
      </c>
      <c r="F58" s="566" t="str">
        <f t="shared" ca="1" si="7"/>
        <v/>
      </c>
      <c r="G58" s="566" t="str">
        <f t="shared" ca="1" si="8"/>
        <v/>
      </c>
    </row>
    <row r="59" spans="1:7">
      <c r="A59" t="s">
        <v>935</v>
      </c>
      <c r="D59" s="566" t="str">
        <f t="shared" ca="1" si="5"/>
        <v/>
      </c>
      <c r="E59" s="566" t="str">
        <f t="shared" ca="1" si="6"/>
        <v/>
      </c>
      <c r="F59" s="566" t="str">
        <f t="shared" ca="1" si="7"/>
        <v/>
      </c>
      <c r="G59" s="566" t="str">
        <f t="shared" ca="1" si="8"/>
        <v/>
      </c>
    </row>
    <row r="60" spans="1:7">
      <c r="A60" s="245" t="s">
        <v>936</v>
      </c>
      <c r="B60" s="558" t="e">
        <f>o_midBlindTorque</f>
        <v>#N/A</v>
      </c>
      <c r="D60" s="566" t="str">
        <f t="shared" ca="1" si="5"/>
        <v/>
      </c>
      <c r="E60" s="566" t="str">
        <f t="shared" ca="1" si="6"/>
        <v/>
      </c>
      <c r="F60" s="566" t="str">
        <f t="shared" ca="1" si="7"/>
        <v/>
      </c>
      <c r="G60" s="566" t="str">
        <f t="shared" ca="1" si="8"/>
        <v/>
      </c>
    </row>
    <row r="61" spans="1:7">
      <c r="A61" s="245" t="s">
        <v>937</v>
      </c>
      <c r="B61" s="245" t="e">
        <f>o_tubeTurns</f>
        <v>#N/A</v>
      </c>
      <c r="D61" s="566" t="str">
        <f t="shared" ca="1" si="5"/>
        <v/>
      </c>
      <c r="E61" s="566" t="str">
        <f t="shared" ca="1" si="6"/>
        <v/>
      </c>
      <c r="F61" s="566" t="str">
        <f t="shared" ca="1" si="7"/>
        <v/>
      </c>
      <c r="G61" s="566" t="str">
        <f t="shared" ca="1" si="8"/>
        <v/>
      </c>
    </row>
    <row r="62" spans="1:7">
      <c r="D62" s="566" t="str">
        <f t="shared" ca="1" si="5"/>
        <v/>
      </c>
      <c r="E62" s="566" t="str">
        <f t="shared" ca="1" si="6"/>
        <v/>
      </c>
      <c r="F62" s="566" t="str">
        <f t="shared" ca="1" si="7"/>
        <v/>
      </c>
      <c r="G62" s="566" t="str">
        <f t="shared" ca="1" si="8"/>
        <v/>
      </c>
    </row>
    <row r="63" spans="1:7">
      <c r="A63" t="s">
        <v>938</v>
      </c>
      <c r="D63" s="566" t="str">
        <f t="shared" ca="1" si="5"/>
        <v/>
      </c>
      <c r="E63" s="566" t="str">
        <f t="shared" ca="1" si="6"/>
        <v/>
      </c>
      <c r="F63" s="566" t="str">
        <f t="shared" ca="1" si="7"/>
        <v/>
      </c>
      <c r="G63" s="566" t="str">
        <f t="shared" ca="1" si="8"/>
        <v/>
      </c>
    </row>
    <row r="64" spans="1:7">
      <c r="A64" s="245" t="s">
        <v>936</v>
      </c>
      <c r="B64" s="572"/>
      <c r="D64" s="566" t="str">
        <f t="shared" ca="1" si="5"/>
        <v/>
      </c>
      <c r="E64" s="566" t="str">
        <f t="shared" ca="1" si="6"/>
        <v/>
      </c>
      <c r="F64" s="566" t="str">
        <f t="shared" ca="1" si="7"/>
        <v/>
      </c>
      <c r="G64" s="566" t="str">
        <f t="shared" ca="1" si="8"/>
        <v/>
      </c>
    </row>
    <row r="65" spans="1:7">
      <c r="A65" s="245" t="s">
        <v>937</v>
      </c>
      <c r="B65" s="572" t="e">
        <f>Rotations_Top_Max</f>
        <v>#NAME?</v>
      </c>
      <c r="D65" s="566" t="str">
        <f t="shared" ca="1" si="5"/>
        <v/>
      </c>
      <c r="E65" s="566" t="str">
        <f t="shared" ca="1" si="6"/>
        <v/>
      </c>
      <c r="F65" s="566" t="str">
        <f t="shared" ca="1" si="7"/>
        <v/>
      </c>
      <c r="G65" s="566" t="str">
        <f t="shared" ca="1" si="8"/>
        <v/>
      </c>
    </row>
    <row r="66" spans="1:7">
      <c r="D66" s="566" t="str">
        <f t="shared" ca="1" si="5"/>
        <v/>
      </c>
      <c r="E66" s="566" t="str">
        <f t="shared" ca="1" si="6"/>
        <v/>
      </c>
      <c r="F66" s="566" t="str">
        <f t="shared" ca="1" si="7"/>
        <v/>
      </c>
      <c r="G66" s="566" t="str">
        <f t="shared" ca="1" si="8"/>
        <v/>
      </c>
    </row>
    <row r="67" spans="1:7">
      <c r="D67" s="566" t="str">
        <f t="shared" ca="1" si="5"/>
        <v/>
      </c>
      <c r="E67" s="566" t="str">
        <f t="shared" ca="1" si="6"/>
        <v/>
      </c>
      <c r="F67" s="566" t="str">
        <f t="shared" ca="1" si="7"/>
        <v/>
      </c>
      <c r="G67" s="566" t="str">
        <f t="shared" ca="1" si="8"/>
        <v/>
      </c>
    </row>
    <row r="68" spans="1:7">
      <c r="D68" s="566" t="str">
        <f t="shared" ca="1" si="5"/>
        <v/>
      </c>
      <c r="E68" s="566" t="str">
        <f t="shared" ca="1" si="6"/>
        <v/>
      </c>
      <c r="F68" s="566" t="str">
        <f t="shared" ca="1" si="7"/>
        <v/>
      </c>
      <c r="G68" s="566" t="str">
        <f t="shared" ca="1" si="8"/>
        <v/>
      </c>
    </row>
    <row r="69" spans="1:7">
      <c r="D69" s="566" t="str">
        <f t="shared" ca="1" si="5"/>
        <v/>
      </c>
      <c r="E69" s="566" t="str">
        <f t="shared" ca="1" si="6"/>
        <v/>
      </c>
      <c r="F69" s="566" t="str">
        <f t="shared" ca="1" si="7"/>
        <v/>
      </c>
      <c r="G69" s="566" t="str">
        <f t="shared" ca="1" si="8"/>
        <v/>
      </c>
    </row>
    <row r="70" spans="1:7">
      <c r="D70" s="566" t="str">
        <f t="shared" ref="D70:D101" ca="1" si="9">IF(AND(OFFSET(H70,0,$B$27-1)&gt;0,OFFSET(H70,0,$B$27-1)&lt;&gt;""),logic1_FudgedTurns+$B$60/OFFSET(H70,0,$B$27-1),"")</f>
        <v/>
      </c>
      <c r="E70" s="566" t="str">
        <f t="shared" ref="E70:E101" ca="1" si="10">IF(D70&lt;&gt;"",D70+0.5*$B$61,"")</f>
        <v/>
      </c>
      <c r="F70" s="566" t="str">
        <f t="shared" ref="F70:F101" ca="1" si="11">IF(D70&lt;&gt;"",D70-0.5*input_totalBlindTurns,"")</f>
        <v/>
      </c>
      <c r="G70" s="566" t="str">
        <f t="shared" ref="G70:G101" ca="1" si="12">IF(E70&lt;&gt;"",IF(AND(E70&lt;OFFSET(H70,0,$B$28-1),F70&gt;0),"y","n"),"")</f>
        <v/>
      </c>
    </row>
    <row r="71" spans="1:7">
      <c r="D71" s="566" t="str">
        <f t="shared" ca="1" si="9"/>
        <v/>
      </c>
      <c r="E71" s="566" t="str">
        <f t="shared" ca="1" si="10"/>
        <v/>
      </c>
      <c r="F71" s="566" t="str">
        <f t="shared" ca="1" si="11"/>
        <v/>
      </c>
      <c r="G71" s="566" t="str">
        <f t="shared" ca="1" si="12"/>
        <v/>
      </c>
    </row>
    <row r="72" spans="1:7">
      <c r="D72" s="566" t="str">
        <f t="shared" ca="1" si="9"/>
        <v/>
      </c>
      <c r="E72" s="566" t="str">
        <f t="shared" ca="1" si="10"/>
        <v/>
      </c>
      <c r="F72" s="566" t="str">
        <f t="shared" ca="1" si="11"/>
        <v/>
      </c>
      <c r="G72" s="566" t="str">
        <f t="shared" ca="1" si="12"/>
        <v/>
      </c>
    </row>
    <row r="73" spans="1:7">
      <c r="D73" s="566" t="str">
        <f t="shared" ca="1" si="9"/>
        <v/>
      </c>
      <c r="E73" s="566" t="str">
        <f t="shared" ca="1" si="10"/>
        <v/>
      </c>
      <c r="F73" s="566" t="str">
        <f t="shared" ca="1" si="11"/>
        <v/>
      </c>
      <c r="G73" s="566" t="str">
        <f t="shared" ca="1" si="12"/>
        <v/>
      </c>
    </row>
    <row r="74" spans="1:7">
      <c r="D74" s="566" t="str">
        <f t="shared" ca="1" si="9"/>
        <v/>
      </c>
      <c r="E74" s="566" t="str">
        <f t="shared" ca="1" si="10"/>
        <v/>
      </c>
      <c r="F74" s="566" t="str">
        <f t="shared" ca="1" si="11"/>
        <v/>
      </c>
      <c r="G74" s="566" t="str">
        <f t="shared" ca="1" si="12"/>
        <v/>
      </c>
    </row>
    <row r="75" spans="1:7">
      <c r="D75" s="566" t="str">
        <f t="shared" ca="1" si="9"/>
        <v/>
      </c>
      <c r="E75" s="566" t="str">
        <f t="shared" ca="1" si="10"/>
        <v/>
      </c>
      <c r="F75" s="566" t="str">
        <f t="shared" ca="1" si="11"/>
        <v/>
      </c>
      <c r="G75" s="566" t="str">
        <f t="shared" ca="1" si="12"/>
        <v/>
      </c>
    </row>
    <row r="76" spans="1:7">
      <c r="D76" s="566" t="str">
        <f t="shared" ca="1" si="9"/>
        <v/>
      </c>
      <c r="E76" s="566" t="str">
        <f t="shared" ca="1" si="10"/>
        <v/>
      </c>
      <c r="F76" s="566" t="str">
        <f t="shared" ca="1" si="11"/>
        <v/>
      </c>
      <c r="G76" s="566" t="str">
        <f t="shared" ca="1" si="12"/>
        <v/>
      </c>
    </row>
    <row r="77" spans="1:7">
      <c r="D77" s="566" t="str">
        <f t="shared" ca="1" si="9"/>
        <v/>
      </c>
      <c r="E77" s="566" t="str">
        <f t="shared" ca="1" si="10"/>
        <v/>
      </c>
      <c r="F77" s="566" t="str">
        <f t="shared" ca="1" si="11"/>
        <v/>
      </c>
      <c r="G77" s="566" t="str">
        <f t="shared" ca="1" si="12"/>
        <v/>
      </c>
    </row>
    <row r="78" spans="1:7">
      <c r="D78" s="566" t="str">
        <f t="shared" ca="1" si="9"/>
        <v/>
      </c>
      <c r="E78" s="566" t="str">
        <f t="shared" ca="1" si="10"/>
        <v/>
      </c>
      <c r="F78" s="566" t="str">
        <f t="shared" ca="1" si="11"/>
        <v/>
      </c>
      <c r="G78" s="566" t="str">
        <f t="shared" ca="1" si="12"/>
        <v/>
      </c>
    </row>
    <row r="79" spans="1:7">
      <c r="D79" s="566" t="str">
        <f t="shared" ca="1" si="9"/>
        <v/>
      </c>
      <c r="E79" s="566" t="str">
        <f t="shared" ca="1" si="10"/>
        <v/>
      </c>
      <c r="F79" s="566" t="str">
        <f t="shared" ca="1" si="11"/>
        <v/>
      </c>
      <c r="G79" s="566" t="str">
        <f t="shared" ca="1" si="12"/>
        <v/>
      </c>
    </row>
    <row r="80" spans="1:7">
      <c r="D80" s="566" t="str">
        <f t="shared" ca="1" si="9"/>
        <v/>
      </c>
      <c r="E80" s="566" t="str">
        <f t="shared" ca="1" si="10"/>
        <v/>
      </c>
      <c r="F80" s="566" t="str">
        <f t="shared" ca="1" si="11"/>
        <v/>
      </c>
      <c r="G80" s="566" t="str">
        <f t="shared" ca="1" si="12"/>
        <v/>
      </c>
    </row>
    <row r="81" spans="4:7">
      <c r="D81" s="566" t="str">
        <f t="shared" ca="1" si="9"/>
        <v/>
      </c>
      <c r="E81" s="566" t="str">
        <f t="shared" ca="1" si="10"/>
        <v/>
      </c>
      <c r="F81" s="566" t="str">
        <f t="shared" ca="1" si="11"/>
        <v/>
      </c>
      <c r="G81" s="566" t="str">
        <f t="shared" ca="1" si="12"/>
        <v/>
      </c>
    </row>
    <row r="82" spans="4:7">
      <c r="D82" s="566" t="str">
        <f t="shared" ca="1" si="9"/>
        <v/>
      </c>
      <c r="E82" s="566" t="str">
        <f t="shared" ca="1" si="10"/>
        <v/>
      </c>
      <c r="F82" s="566" t="str">
        <f t="shared" ca="1" si="11"/>
        <v/>
      </c>
      <c r="G82" s="566" t="str">
        <f t="shared" ca="1" si="12"/>
        <v/>
      </c>
    </row>
    <row r="83" spans="4:7">
      <c r="D83" s="566" t="str">
        <f t="shared" ca="1" si="9"/>
        <v/>
      </c>
      <c r="E83" s="566" t="str">
        <f t="shared" ca="1" si="10"/>
        <v/>
      </c>
      <c r="F83" s="566" t="str">
        <f t="shared" ca="1" si="11"/>
        <v/>
      </c>
      <c r="G83" s="566" t="str">
        <f t="shared" ca="1" si="12"/>
        <v/>
      </c>
    </row>
    <row r="84" spans="4:7">
      <c r="D84" s="566" t="str">
        <f t="shared" ca="1" si="9"/>
        <v/>
      </c>
      <c r="E84" s="566" t="str">
        <f t="shared" ca="1" si="10"/>
        <v/>
      </c>
      <c r="F84" s="566" t="str">
        <f t="shared" ca="1" si="11"/>
        <v/>
      </c>
      <c r="G84" s="566" t="str">
        <f t="shared" ca="1" si="12"/>
        <v/>
      </c>
    </row>
    <row r="85" spans="4:7">
      <c r="D85" s="566" t="str">
        <f t="shared" ca="1" si="9"/>
        <v/>
      </c>
      <c r="E85" s="566" t="str">
        <f t="shared" ca="1" si="10"/>
        <v/>
      </c>
      <c r="F85" s="566" t="str">
        <f t="shared" ca="1" si="11"/>
        <v/>
      </c>
      <c r="G85" s="566" t="str">
        <f t="shared" ca="1" si="12"/>
        <v/>
      </c>
    </row>
    <row r="86" spans="4:7">
      <c r="D86" s="566" t="str">
        <f t="shared" ca="1" si="9"/>
        <v/>
      </c>
      <c r="E86" s="566" t="str">
        <f t="shared" ca="1" si="10"/>
        <v/>
      </c>
      <c r="F86" s="566" t="str">
        <f t="shared" ca="1" si="11"/>
        <v/>
      </c>
      <c r="G86" s="566" t="str">
        <f t="shared" ca="1" si="12"/>
        <v/>
      </c>
    </row>
    <row r="87" spans="4:7">
      <c r="D87" s="566" t="str">
        <f t="shared" ca="1" si="9"/>
        <v/>
      </c>
      <c r="E87" s="566" t="str">
        <f t="shared" ca="1" si="10"/>
        <v/>
      </c>
      <c r="F87" s="566" t="str">
        <f t="shared" ca="1" si="11"/>
        <v/>
      </c>
      <c r="G87" s="566" t="str">
        <f t="shared" ca="1" si="12"/>
        <v/>
      </c>
    </row>
    <row r="88" spans="4:7">
      <c r="D88" s="566" t="str">
        <f t="shared" ca="1" si="9"/>
        <v/>
      </c>
      <c r="E88" s="566" t="str">
        <f t="shared" ca="1" si="10"/>
        <v/>
      </c>
      <c r="F88" s="566" t="str">
        <f t="shared" ca="1" si="11"/>
        <v/>
      </c>
      <c r="G88" s="566" t="str">
        <f t="shared" ca="1" si="12"/>
        <v/>
      </c>
    </row>
    <row r="89" spans="4:7">
      <c r="D89" s="566" t="str">
        <f t="shared" ca="1" si="9"/>
        <v/>
      </c>
      <c r="E89" s="566" t="str">
        <f t="shared" ca="1" si="10"/>
        <v/>
      </c>
      <c r="F89" s="566" t="str">
        <f t="shared" ca="1" si="11"/>
        <v/>
      </c>
      <c r="G89" s="566" t="str">
        <f t="shared" ca="1" si="12"/>
        <v/>
      </c>
    </row>
    <row r="90" spans="4:7">
      <c r="D90" s="566" t="str">
        <f t="shared" ca="1" si="9"/>
        <v/>
      </c>
      <c r="E90" s="566" t="str">
        <f t="shared" ca="1" si="10"/>
        <v/>
      </c>
      <c r="F90" s="566" t="str">
        <f t="shared" ca="1" si="11"/>
        <v/>
      </c>
      <c r="G90" s="566" t="str">
        <f t="shared" ca="1" si="12"/>
        <v/>
      </c>
    </row>
    <row r="91" spans="4:7">
      <c r="D91" s="566" t="str">
        <f t="shared" ca="1" si="9"/>
        <v/>
      </c>
      <c r="E91" s="566" t="str">
        <f t="shared" ca="1" si="10"/>
        <v/>
      </c>
      <c r="F91" s="566" t="str">
        <f t="shared" ca="1" si="11"/>
        <v/>
      </c>
      <c r="G91" s="566" t="str">
        <f t="shared" ca="1" si="12"/>
        <v/>
      </c>
    </row>
    <row r="92" spans="4:7">
      <c r="D92" s="566" t="str">
        <f t="shared" ca="1" si="9"/>
        <v/>
      </c>
      <c r="E92" s="566" t="str">
        <f t="shared" ca="1" si="10"/>
        <v/>
      </c>
      <c r="F92" s="566" t="str">
        <f t="shared" ca="1" si="11"/>
        <v/>
      </c>
      <c r="G92" s="566" t="str">
        <f t="shared" ca="1" si="12"/>
        <v/>
      </c>
    </row>
    <row r="93" spans="4:7">
      <c r="D93" s="566" t="str">
        <f t="shared" ca="1" si="9"/>
        <v/>
      </c>
      <c r="E93" s="566" t="str">
        <f t="shared" ca="1" si="10"/>
        <v/>
      </c>
      <c r="F93" s="566" t="str">
        <f t="shared" ca="1" si="11"/>
        <v/>
      </c>
      <c r="G93" s="566" t="str">
        <f t="shared" ca="1" si="12"/>
        <v/>
      </c>
    </row>
    <row r="94" spans="4:7">
      <c r="D94" s="566" t="str">
        <f t="shared" ca="1" si="9"/>
        <v/>
      </c>
      <c r="E94" s="566" t="str">
        <f t="shared" ca="1" si="10"/>
        <v/>
      </c>
      <c r="F94" s="566" t="str">
        <f t="shared" ca="1" si="11"/>
        <v/>
      </c>
      <c r="G94" s="566" t="str">
        <f t="shared" ca="1" si="12"/>
        <v/>
      </c>
    </row>
    <row r="95" spans="4:7">
      <c r="D95" s="566" t="str">
        <f t="shared" ca="1" si="9"/>
        <v/>
      </c>
      <c r="E95" s="566" t="str">
        <f t="shared" ca="1" si="10"/>
        <v/>
      </c>
      <c r="F95" s="566" t="str">
        <f t="shared" ca="1" si="11"/>
        <v/>
      </c>
      <c r="G95" s="566" t="str">
        <f t="shared" ca="1" si="12"/>
        <v/>
      </c>
    </row>
    <row r="96" spans="4:7">
      <c r="D96" s="566" t="str">
        <f t="shared" ca="1" si="9"/>
        <v/>
      </c>
      <c r="E96" s="566" t="str">
        <f t="shared" ca="1" si="10"/>
        <v/>
      </c>
      <c r="F96" s="566" t="str">
        <f t="shared" ca="1" si="11"/>
        <v/>
      </c>
      <c r="G96" s="566" t="str">
        <f t="shared" ca="1" si="12"/>
        <v/>
      </c>
    </row>
    <row r="97" spans="4:7">
      <c r="D97" s="566" t="str">
        <f t="shared" ca="1" si="9"/>
        <v/>
      </c>
      <c r="E97" s="566" t="str">
        <f t="shared" ca="1" si="10"/>
        <v/>
      </c>
      <c r="F97" s="566" t="str">
        <f t="shared" ca="1" si="11"/>
        <v/>
      </c>
      <c r="G97" s="566" t="str">
        <f t="shared" ca="1" si="12"/>
        <v/>
      </c>
    </row>
    <row r="98" spans="4:7">
      <c r="D98" s="566" t="str">
        <f t="shared" ca="1" si="9"/>
        <v/>
      </c>
      <c r="E98" s="566" t="str">
        <f t="shared" ca="1" si="10"/>
        <v/>
      </c>
      <c r="F98" s="566" t="str">
        <f t="shared" ca="1" si="11"/>
        <v/>
      </c>
      <c r="G98" s="566" t="str">
        <f t="shared" ca="1" si="12"/>
        <v/>
      </c>
    </row>
    <row r="99" spans="4:7">
      <c r="D99" s="566" t="str">
        <f t="shared" ca="1" si="9"/>
        <v/>
      </c>
      <c r="E99" s="566" t="str">
        <f t="shared" ca="1" si="10"/>
        <v/>
      </c>
      <c r="F99" s="566" t="str">
        <f t="shared" ca="1" si="11"/>
        <v/>
      </c>
      <c r="G99" s="566" t="str">
        <f t="shared" ca="1" si="12"/>
        <v/>
      </c>
    </row>
    <row r="100" spans="4:7">
      <c r="D100" s="566" t="str">
        <f t="shared" ca="1" si="9"/>
        <v/>
      </c>
      <c r="E100" s="566" t="str">
        <f t="shared" ca="1" si="10"/>
        <v/>
      </c>
      <c r="F100" s="566" t="str">
        <f t="shared" ca="1" si="11"/>
        <v/>
      </c>
      <c r="G100" s="566" t="str">
        <f t="shared" ca="1" si="12"/>
        <v/>
      </c>
    </row>
    <row r="101" spans="4:7">
      <c r="D101" s="566" t="str">
        <f t="shared" ca="1" si="9"/>
        <v/>
      </c>
      <c r="E101" s="566" t="str">
        <f t="shared" ca="1" si="10"/>
        <v/>
      </c>
      <c r="F101" s="566" t="str">
        <f t="shared" ca="1" si="11"/>
        <v/>
      </c>
      <c r="G101" s="566" t="str">
        <f t="shared" ca="1" si="12"/>
        <v/>
      </c>
    </row>
    <row r="102" spans="4:7">
      <c r="D102" s="566" t="str">
        <f t="shared" ref="D102:D108" ca="1" si="13">IF(AND(OFFSET(H102,0,$B$27-1)&gt;0,OFFSET(H102,0,$B$27-1)&lt;&gt;""),logic1_FudgedTurns+$B$60/OFFSET(H102,0,$B$27-1),"")</f>
        <v/>
      </c>
      <c r="E102" s="566" t="str">
        <f t="shared" ref="E102:E108" ca="1" si="14">IF(D102&lt;&gt;"",D102+0.5*$B$61,"")</f>
        <v/>
      </c>
      <c r="F102" s="566" t="str">
        <f t="shared" ref="F102:F108" ca="1" si="15">IF(D102&lt;&gt;"",D102-0.5*input_totalBlindTurns,"")</f>
        <v/>
      </c>
      <c r="G102" s="566" t="str">
        <f t="shared" ref="G102:G108" ca="1" si="16">IF(E102&lt;&gt;"",IF(AND(E102&lt;OFFSET(H102,0,$B$28-1),F102&gt;0),"y","n"),"")</f>
        <v/>
      </c>
    </row>
    <row r="103" spans="4:7">
      <c r="D103" s="566" t="str">
        <f t="shared" ca="1" si="13"/>
        <v/>
      </c>
      <c r="E103" s="566" t="str">
        <f t="shared" ca="1" si="14"/>
        <v/>
      </c>
      <c r="F103" s="566" t="str">
        <f t="shared" ca="1" si="15"/>
        <v/>
      </c>
      <c r="G103" s="566" t="str">
        <f t="shared" ca="1" si="16"/>
        <v/>
      </c>
    </row>
    <row r="104" spans="4:7">
      <c r="D104" s="566" t="str">
        <f t="shared" ca="1" si="13"/>
        <v/>
      </c>
      <c r="E104" s="566" t="str">
        <f t="shared" ca="1" si="14"/>
        <v/>
      </c>
      <c r="F104" s="566" t="str">
        <f t="shared" ca="1" si="15"/>
        <v/>
      </c>
      <c r="G104" s="566" t="str">
        <f t="shared" ca="1" si="16"/>
        <v/>
      </c>
    </row>
    <row r="105" spans="4:7">
      <c r="D105" s="566" t="str">
        <f t="shared" ca="1" si="13"/>
        <v/>
      </c>
      <c r="E105" s="566" t="str">
        <f t="shared" ca="1" si="14"/>
        <v/>
      </c>
      <c r="F105" s="566" t="str">
        <f t="shared" ca="1" si="15"/>
        <v/>
      </c>
      <c r="G105" s="566" t="str">
        <f t="shared" ca="1" si="16"/>
        <v/>
      </c>
    </row>
    <row r="106" spans="4:7">
      <c r="D106" s="566" t="str">
        <f t="shared" ca="1" si="13"/>
        <v/>
      </c>
      <c r="E106" s="566" t="str">
        <f t="shared" ca="1" si="14"/>
        <v/>
      </c>
      <c r="F106" s="566" t="str">
        <f t="shared" ca="1" si="15"/>
        <v/>
      </c>
      <c r="G106" s="566" t="str">
        <f t="shared" ca="1" si="16"/>
        <v/>
      </c>
    </row>
    <row r="107" spans="4:7">
      <c r="D107" s="566" t="str">
        <f t="shared" ca="1" si="13"/>
        <v/>
      </c>
      <c r="E107" s="566" t="str">
        <f t="shared" ca="1" si="14"/>
        <v/>
      </c>
      <c r="F107" s="566" t="str">
        <f t="shared" ca="1" si="15"/>
        <v/>
      </c>
      <c r="G107" s="566" t="str">
        <f t="shared" ca="1" si="16"/>
        <v/>
      </c>
    </row>
    <row r="108" spans="4:7">
      <c r="D108" s="566" t="str">
        <f t="shared" ca="1" si="13"/>
        <v/>
      </c>
      <c r="E108" s="566" t="str">
        <f t="shared" ca="1" si="14"/>
        <v/>
      </c>
      <c r="F108" s="566" t="str">
        <f t="shared" ca="1" si="15"/>
        <v/>
      </c>
      <c r="G108" s="566" t="str">
        <f t="shared" ca="1" si="16"/>
        <v/>
      </c>
    </row>
  </sheetData>
  <mergeCells count="1">
    <mergeCell ref="D4:F4"/>
  </mergeCells>
  <conditionalFormatting sqref="D6:AC108">
    <cfRule type="expression" dxfId="43" priority="2967">
      <formula>$G6="y"</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anchor moveWithCells="1" sizeWithCells="1">
                  <from>
                    <xdr:col>4</xdr:col>
                    <xdr:colOff>488950</xdr:colOff>
                    <xdr:row>0</xdr:row>
                    <xdr:rowOff>127000</xdr:rowOff>
                  </from>
                  <to>
                    <xdr:col>4</xdr:col>
                    <xdr:colOff>1479550</xdr:colOff>
                    <xdr:row>2</xdr:row>
                    <xdr:rowOff>88900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925C-BCDD-4DED-9A05-112BF7F413E2}">
  <sheetPr codeName="Sheet22"/>
  <dimension ref="A1:AJ66"/>
  <sheetViews>
    <sheetView showGridLines="0" showRowColHeaders="0" showRuler="0" workbookViewId="0"/>
  </sheetViews>
  <sheetFormatPr defaultRowHeight="14.5"/>
  <cols>
    <col min="1" max="1" width="26.453125" customWidth="1"/>
    <col min="2" max="2" width="13.1796875" customWidth="1"/>
    <col min="4" max="4" width="18.453125" bestFit="1" customWidth="1"/>
    <col min="5" max="5" width="22.54296875" customWidth="1"/>
    <col min="6" max="6" width="24.453125" customWidth="1"/>
    <col min="7" max="7" width="23.81640625" customWidth="1"/>
    <col min="15" max="15" width="15.453125" bestFit="1" customWidth="1"/>
    <col min="16" max="16" width="18" bestFit="1" customWidth="1"/>
    <col min="24" max="24" width="10.54296875" customWidth="1"/>
  </cols>
  <sheetData>
    <row r="1" spans="1:36" ht="18.5">
      <c r="A1" s="217"/>
      <c r="D1" s="557" t="s">
        <v>939</v>
      </c>
    </row>
    <row r="2" spans="1:36" ht="18.5">
      <c r="A2" s="190" t="s">
        <v>940</v>
      </c>
      <c r="B2" s="573" t="s">
        <v>901</v>
      </c>
      <c r="F2" t="s">
        <v>941</v>
      </c>
      <c r="G2" t="s">
        <v>942</v>
      </c>
    </row>
    <row r="3" spans="1:36">
      <c r="D3" s="245" t="s">
        <v>943</v>
      </c>
      <c r="E3" s="574" cm="1">
        <f t="array" aca="1" ref="E3" ca="1">INDEX(locTable_modSpringData_L2,,G3)</f>
        <v>0</v>
      </c>
      <c r="F3" t="s">
        <v>880</v>
      </c>
      <c r="G3">
        <f ca="1">MATCH(F3,locHeader_modSpringData_L1,0)</f>
        <v>17</v>
      </c>
    </row>
    <row r="4" spans="1:36">
      <c r="D4" s="245" t="s">
        <v>944</v>
      </c>
      <c r="E4" s="575" cm="1">
        <f t="array" aca="1" ref="E4" ca="1">INDEX(locTable_modSpringData_L2,,G4)</f>
        <v>0</v>
      </c>
      <c r="F4" t="s">
        <v>875</v>
      </c>
      <c r="G4">
        <f ca="1">MATCH(F4,locHeader_modSpringData_L1,0)</f>
        <v>9</v>
      </c>
    </row>
    <row r="5" spans="1:36">
      <c r="D5" s="245" t="s">
        <v>856</v>
      </c>
      <c r="E5" s="575" t="str" cm="1">
        <f t="array" aca="1" ref="E5" ca="1">IF(INDEX(locTable_modSpringData_L2,,G5)=0,"No suitable options.",INDEX(locTable_modSpringData_L2,,G5))</f>
        <v>No suitable options.</v>
      </c>
      <c r="F5" t="s">
        <v>79</v>
      </c>
      <c r="G5">
        <f ca="1">MATCH(F5,locHeader_modSpringData_L1,0)</f>
        <v>10</v>
      </c>
    </row>
    <row r="6" spans="1:36">
      <c r="D6" s="245" t="s">
        <v>945</v>
      </c>
      <c r="E6" s="575" cm="1">
        <f t="array" aca="1" ref="E6" ca="1">INDEX(locTable_modSpringData_L2,,G6)</f>
        <v>0</v>
      </c>
      <c r="F6" t="s">
        <v>878</v>
      </c>
      <c r="G6">
        <f ca="1">MATCH(F6,locHeader_modSpringData_L1,0)</f>
        <v>13</v>
      </c>
    </row>
    <row r="7" spans="1:36">
      <c r="D7" s="245" t="s">
        <v>946</v>
      </c>
      <c r="E7" s="576" cm="1">
        <f t="array" aca="1" ref="E7" ca="1">INDEX(locTable_modSpringData_L2,,G7)</f>
        <v>0</v>
      </c>
      <c r="F7" t="s">
        <v>912</v>
      </c>
      <c r="G7">
        <f ca="1">MATCH(F7,locHeader_modSpringData_L1,0)</f>
        <v>3</v>
      </c>
    </row>
    <row r="8" spans="1:36">
      <c r="A8" s="190" t="s">
        <v>947</v>
      </c>
      <c r="E8" s="586"/>
    </row>
    <row r="9" spans="1:36">
      <c r="A9" s="245" t="s">
        <v>948</v>
      </c>
      <c r="B9" s="577" t="b">
        <v>0</v>
      </c>
      <c r="D9" t="str" cm="1">
        <f t="array" aca="1" ref="D9:AC9" ca="1">locHeader_modSpringData_L1</f>
        <v>Turns @ Mid Blind (With Fudged Turns)</v>
      </c>
      <c r="E9" t="str">
        <f ca="1"/>
        <v>Max Turns Required (Logic 1)</v>
      </c>
      <c r="F9" t="str">
        <f ca="1"/>
        <v>Pre-Turns Required (Logic 1)</v>
      </c>
      <c r="G9" t="str">
        <f ca="1"/>
        <v>Turns check</v>
      </c>
      <c r="H9" t="str">
        <f ca="1"/>
        <v>LL Spring Rate</v>
      </c>
      <c r="I9" t="str">
        <f ca="1"/>
        <v>UL Spring Rate</v>
      </c>
      <c r="J9" t="str">
        <f ca="1"/>
        <v>Local Switch</v>
      </c>
      <c r="K9" t="str">
        <f ca="1"/>
        <v>Booster Rate Check</v>
      </c>
      <c r="L9" t="str">
        <f ca="1"/>
        <v>Options</v>
      </c>
      <c r="M9" t="str">
        <f ca="1"/>
        <v>Booster</v>
      </c>
      <c r="N9" t="str">
        <f ca="1"/>
        <v>Wire ø (mm)</v>
      </c>
      <c r="O9" s="578" t="str">
        <f ca="1"/>
        <v>mean coil ID</v>
      </c>
      <c r="P9" t="str">
        <f ca="1"/>
        <v>Position</v>
      </c>
      <c r="Q9" t="str">
        <f ca="1"/>
        <v>Number of coils</v>
      </c>
      <c r="R9" t="str">
        <f ca="1"/>
        <v>Max Turns</v>
      </c>
      <c r="S9" t="str">
        <f ca="1"/>
        <v>T_Max</v>
      </c>
      <c r="T9" t="str">
        <f ca="1"/>
        <v>Nom. Spring Rate</v>
      </c>
      <c r="U9" t="str">
        <f ca="1"/>
        <v>Bending stress (Mpa)</v>
      </c>
      <c r="V9" t="str">
        <f ca="1"/>
        <v>Min blind width w idler(TBC) mm</v>
      </c>
      <c r="W9" t="str">
        <f ca="1"/>
        <v>Min. Width (m)</v>
      </c>
      <c r="X9">
        <f ca="1"/>
        <v>38.6</v>
      </c>
      <c r="Y9" t="str">
        <f ca="1"/>
        <v>Rate Var %</v>
      </c>
      <c r="Z9" t="str">
        <f ca="1"/>
        <v>Spring Flag</v>
      </c>
      <c r="AA9" t="str">
        <f ca="1"/>
        <v>mod of Elast</v>
      </c>
      <c r="AB9">
        <f ca="1"/>
        <v>207000</v>
      </c>
      <c r="AC9">
        <f ca="1"/>
        <v>0</v>
      </c>
    </row>
    <row r="10" spans="1:36">
      <c r="B10" s="1"/>
      <c r="D10" s="579" t="str">
        <f ca="1">IF(i_Units="Metric",IF(i_Drop&gt;dropLimitmm,"",D15),IF(i_Drop&gt;dropLimitin,"",D15))</f>
        <v/>
      </c>
      <c r="E10" s="580">
        <f t="shared" ref="E10:AF10" si="0">E15</f>
        <v>0</v>
      </c>
      <c r="F10" s="568">
        <f t="shared" si="0"/>
        <v>0</v>
      </c>
      <c r="G10" s="245">
        <f t="shared" si="0"/>
        <v>0</v>
      </c>
      <c r="H10" s="245">
        <f t="shared" si="0"/>
        <v>0</v>
      </c>
      <c r="I10" s="245">
        <f t="shared" si="0"/>
        <v>0</v>
      </c>
      <c r="J10" s="245">
        <f t="shared" si="0"/>
        <v>0</v>
      </c>
      <c r="K10" s="245">
        <f t="shared" si="0"/>
        <v>0</v>
      </c>
      <c r="L10" s="245">
        <f t="shared" si="0"/>
        <v>0</v>
      </c>
      <c r="M10" s="245">
        <f t="shared" si="0"/>
        <v>0</v>
      </c>
      <c r="N10" s="245">
        <f t="shared" si="0"/>
        <v>0</v>
      </c>
      <c r="O10" s="245">
        <f t="shared" si="0"/>
        <v>0</v>
      </c>
      <c r="P10" s="245">
        <f t="shared" si="0"/>
        <v>0</v>
      </c>
      <c r="Q10" s="245">
        <f t="shared" si="0"/>
        <v>0</v>
      </c>
      <c r="R10" s="245">
        <f t="shared" si="0"/>
        <v>0</v>
      </c>
      <c r="S10" s="245">
        <f t="shared" si="0"/>
        <v>0</v>
      </c>
      <c r="T10" s="245">
        <f t="shared" si="0"/>
        <v>0</v>
      </c>
      <c r="U10" s="245">
        <f t="shared" si="0"/>
        <v>0</v>
      </c>
      <c r="V10" s="245">
        <f t="shared" si="0"/>
        <v>0</v>
      </c>
      <c r="W10" s="245">
        <f t="shared" si="0"/>
        <v>0</v>
      </c>
      <c r="X10" s="245">
        <f t="shared" si="0"/>
        <v>0</v>
      </c>
      <c r="Y10" s="245">
        <f t="shared" si="0"/>
        <v>0</v>
      </c>
      <c r="Z10" s="245">
        <f t="shared" si="0"/>
        <v>0</v>
      </c>
      <c r="AA10" s="245">
        <f t="shared" si="0"/>
        <v>0</v>
      </c>
      <c r="AB10" s="245">
        <f t="shared" si="0"/>
        <v>0</v>
      </c>
      <c r="AC10" s="245">
        <f t="shared" si="0"/>
        <v>0</v>
      </c>
      <c r="AD10" s="245">
        <f t="shared" si="0"/>
        <v>0</v>
      </c>
      <c r="AE10" s="245">
        <f t="shared" si="0"/>
        <v>0</v>
      </c>
      <c r="AF10" s="245">
        <f t="shared" si="0"/>
        <v>0</v>
      </c>
      <c r="AG10" s="245"/>
      <c r="AH10" s="245"/>
      <c r="AI10" s="245"/>
      <c r="AJ10" s="245"/>
    </row>
    <row r="11" spans="1:36">
      <c r="A11" s="190" t="s">
        <v>895</v>
      </c>
      <c r="B11" s="1"/>
    </row>
    <row r="12" spans="1:36">
      <c r="A12" s="245" t="s">
        <v>949</v>
      </c>
      <c r="B12" s="577" t="s">
        <v>122</v>
      </c>
    </row>
    <row r="14" spans="1:36">
      <c r="A14" s="563"/>
      <c r="B14" t="s">
        <v>950</v>
      </c>
      <c r="D14" t="str" cm="1">
        <f t="array" aca="1" ref="D14:AC14" ca="1">locHeader_modSpringData_L1</f>
        <v>Turns @ Mid Blind (With Fudged Turns)</v>
      </c>
      <c r="E14" t="str">
        <f ca="1"/>
        <v>Max Turns Required (Logic 1)</v>
      </c>
      <c r="F14" t="str">
        <f ca="1"/>
        <v>Pre-Turns Required (Logic 1)</v>
      </c>
      <c r="G14" t="str">
        <f ca="1"/>
        <v>Turns check</v>
      </c>
      <c r="H14" t="str">
        <f ca="1"/>
        <v>LL Spring Rate</v>
      </c>
      <c r="I14" t="str">
        <f ca="1"/>
        <v>UL Spring Rate</v>
      </c>
      <c r="J14" t="str">
        <f ca="1"/>
        <v>Local Switch</v>
      </c>
      <c r="K14" t="str">
        <f ca="1"/>
        <v>Booster Rate Check</v>
      </c>
      <c r="L14" t="str">
        <f ca="1"/>
        <v>Options</v>
      </c>
      <c r="M14" t="str">
        <f ca="1"/>
        <v>Booster</v>
      </c>
      <c r="N14" t="str">
        <f ca="1"/>
        <v>Wire ø (mm)</v>
      </c>
      <c r="O14" t="str">
        <f ca="1"/>
        <v>mean coil ID</v>
      </c>
      <c r="P14" t="str">
        <f ca="1"/>
        <v>Position</v>
      </c>
      <c r="Q14" t="str">
        <f ca="1"/>
        <v>Number of coils</v>
      </c>
      <c r="R14" t="str">
        <f ca="1"/>
        <v>Max Turns</v>
      </c>
      <c r="S14" t="str">
        <f ca="1"/>
        <v>T_Max</v>
      </c>
      <c r="T14" t="str">
        <f ca="1"/>
        <v>Nom. Spring Rate</v>
      </c>
      <c r="U14" t="str">
        <f ca="1"/>
        <v>Bending stress (Mpa)</v>
      </c>
      <c r="V14" t="str">
        <f ca="1"/>
        <v>Min blind width w idler(TBC) mm</v>
      </c>
      <c r="W14" t="str">
        <f ca="1"/>
        <v>Min. Width (m)</v>
      </c>
      <c r="X14">
        <f ca="1"/>
        <v>38.6</v>
      </c>
      <c r="Y14" t="str">
        <f ca="1"/>
        <v>Rate Var %</v>
      </c>
      <c r="Z14" t="str">
        <f ca="1"/>
        <v>Spring Flag</v>
      </c>
      <c r="AA14" t="str">
        <f ca="1"/>
        <v>mod of Elast</v>
      </c>
      <c r="AB14">
        <f ca="1"/>
        <v>207000</v>
      </c>
      <c r="AC14">
        <f ca="1"/>
        <v>0</v>
      </c>
    </row>
    <row r="15" spans="1:36">
      <c r="A15" s="558"/>
      <c r="B15" t="s">
        <v>951</v>
      </c>
      <c r="D15" t="str" cm="1">
        <f t="array" aca="1" ref="D15" ca="1">IF(OR(AND(i_Drop&gt;dropLimitin,i_Units="Imperial"),AND(i_Drop&gt;dropLimitmm,i_Units="Metric")),"",_xlfn._xlws.FILTER(locTable_modSpringData_L1,INDEX(locTable_modSpringData_L1,,B39)="y",""))</f>
        <v/>
      </c>
      <c r="F15" s="528"/>
    </row>
    <row r="16" spans="1:36">
      <c r="A16" s="572"/>
      <c r="B16" t="s">
        <v>952</v>
      </c>
      <c r="F16" s="528"/>
    </row>
    <row r="17" spans="1:6">
      <c r="F17" s="528"/>
    </row>
    <row r="18" spans="1:6">
      <c r="A18" s="190" t="s">
        <v>953</v>
      </c>
      <c r="F18" s="528"/>
    </row>
    <row r="19" spans="1:6" ht="33.65" customHeight="1">
      <c r="A19" s="245" t="s">
        <v>954</v>
      </c>
      <c r="B19" s="558" t="e">
        <f ca="1">ESA_IdealSpringRate</f>
        <v>#DIV/0!</v>
      </c>
      <c r="F19" s="528"/>
    </row>
    <row r="20" spans="1:6">
      <c r="A20" s="245" t="s">
        <v>955</v>
      </c>
      <c r="B20" s="581">
        <v>1</v>
      </c>
      <c r="F20" s="528"/>
    </row>
    <row r="21" spans="1:6">
      <c r="A21" s="245" t="s">
        <v>956</v>
      </c>
      <c r="B21" s="582">
        <v>2</v>
      </c>
      <c r="F21" s="528"/>
    </row>
    <row r="22" spans="1:6">
      <c r="B22" s="153"/>
      <c r="F22" s="528"/>
    </row>
    <row r="23" spans="1:6">
      <c r="A23" s="245" t="s">
        <v>955</v>
      </c>
      <c r="B23" s="583">
        <f>calc_inputWidth</f>
        <v>1</v>
      </c>
      <c r="F23" s="528"/>
    </row>
    <row r="24" spans="1:6">
      <c r="A24" s="245" t="s">
        <v>956</v>
      </c>
      <c r="B24" s="583">
        <f>calc_inputDrop</f>
        <v>2</v>
      </c>
      <c r="F24" s="528"/>
    </row>
    <row r="25" spans="1:6">
      <c r="F25" s="528"/>
    </row>
    <row r="26" spans="1:6">
      <c r="A26" t="s">
        <v>938</v>
      </c>
    </row>
    <row r="27" spans="1:6">
      <c r="A27" s="245" t="s">
        <v>954</v>
      </c>
      <c r="B27" s="584" t="e">
        <f ca="1">input_idealSpringRate</f>
        <v>#DIV/0!</v>
      </c>
    </row>
    <row r="28" spans="1:6">
      <c r="A28" s="245" t="s">
        <v>957</v>
      </c>
      <c r="B28" s="584">
        <f ca="1">blindTorque_maxTurns</f>
        <v>0</v>
      </c>
    </row>
    <row r="31" spans="1:6">
      <c r="A31" s="190" t="s">
        <v>958</v>
      </c>
    </row>
    <row r="32" spans="1:6">
      <c r="A32" s="245" t="s">
        <v>936</v>
      </c>
      <c r="B32" s="245" t="e">
        <f>o_midBlindTorque</f>
        <v>#N/A</v>
      </c>
    </row>
    <row r="33" spans="1:3">
      <c r="A33" s="245" t="s">
        <v>937</v>
      </c>
      <c r="B33" s="245" t="e">
        <f>o_tubeTurns</f>
        <v>#N/A</v>
      </c>
    </row>
    <row r="34" spans="1:3">
      <c r="A34" s="245" t="s">
        <v>954</v>
      </c>
      <c r="B34" s="245" t="e">
        <f ca="1">_SpringData_L2!B19</f>
        <v>#DIV/0!</v>
      </c>
    </row>
    <row r="38" spans="1:3">
      <c r="A38" s="190" t="s">
        <v>920</v>
      </c>
      <c r="B38" t="s">
        <v>921</v>
      </c>
    </row>
    <row r="39" spans="1:3">
      <c r="A39" s="245" t="s">
        <v>913</v>
      </c>
      <c r="B39" s="245">
        <f ca="1">MATCH(A39,locHeader_modSpringData_L1,0)</f>
        <v>4</v>
      </c>
    </row>
    <row r="42" spans="1:3">
      <c r="A42" t="s">
        <v>865</v>
      </c>
      <c r="B42" t="s">
        <v>866</v>
      </c>
      <c r="C42" t="s">
        <v>867</v>
      </c>
    </row>
    <row r="43" spans="1:3">
      <c r="A43" t="e" cm="1">
        <f t="array" aca="1" ref="A43:C43" ca="1">OFFSET(blindtorque_a,0,0,1,3)</f>
        <v>#VALUE!</v>
      </c>
      <c r="B43">
        <f ca="1"/>
        <v>0</v>
      </c>
      <c r="C43">
        <f ca="1"/>
        <v>0</v>
      </c>
    </row>
    <row r="45" spans="1:3">
      <c r="A45" s="245" t="s">
        <v>998</v>
      </c>
      <c r="B45" s="245">
        <v>3000</v>
      </c>
    </row>
    <row r="46" spans="1:3">
      <c r="A46" s="245" t="s">
        <v>999</v>
      </c>
      <c r="B46" s="566">
        <f>B45/25.4</f>
        <v>118.11023622047244</v>
      </c>
    </row>
    <row r="48" spans="1:3">
      <c r="A48" s="190" t="s">
        <v>1065</v>
      </c>
    </row>
    <row r="49" spans="1:4">
      <c r="A49" s="190" t="s">
        <v>1061</v>
      </c>
      <c r="B49" s="1">
        <f>COUNTIF(_xlfn.ANCHORARRAY(A50),"&lt;&gt;"&amp;0)</f>
        <v>0</v>
      </c>
    </row>
    <row r="50" spans="1:4">
      <c r="A50" s="245" cm="1">
        <f t="array" ref="A50">_xlfn.UNIQUE(M15:M119)</f>
        <v>0</v>
      </c>
      <c r="B50" t="str">
        <f t="shared" ref="B50:B57" si="1">_xlfn.XLOOKUP(A50,$M$15:$M$119,$T$15:$T$119,"")</f>
        <v/>
      </c>
    </row>
    <row r="51" spans="1:4">
      <c r="A51" s="245"/>
      <c r="B51">
        <f t="shared" si="1"/>
        <v>0</v>
      </c>
    </row>
    <row r="52" spans="1:4">
      <c r="A52" s="245"/>
      <c r="B52">
        <f t="shared" si="1"/>
        <v>0</v>
      </c>
    </row>
    <row r="53" spans="1:4">
      <c r="A53" s="245"/>
      <c r="B53">
        <f t="shared" si="1"/>
        <v>0</v>
      </c>
    </row>
    <row r="54" spans="1:4">
      <c r="A54" s="245"/>
      <c r="B54">
        <f t="shared" si="1"/>
        <v>0</v>
      </c>
    </row>
    <row r="55" spans="1:4">
      <c r="A55" s="245"/>
      <c r="B55">
        <f t="shared" si="1"/>
        <v>0</v>
      </c>
    </row>
    <row r="56" spans="1:4">
      <c r="A56" s="245"/>
      <c r="B56">
        <f t="shared" si="1"/>
        <v>0</v>
      </c>
    </row>
    <row r="57" spans="1:4">
      <c r="A57" s="245"/>
      <c r="B57">
        <f t="shared" si="1"/>
        <v>0</v>
      </c>
    </row>
    <row r="59" spans="1:4">
      <c r="A59" s="245" t="s">
        <v>1064</v>
      </c>
      <c r="B59" s="245" t="s">
        <v>54</v>
      </c>
    </row>
    <row r="60" spans="1:4">
      <c r="A60" s="245">
        <f>i_ESA_Booster</f>
        <v>0</v>
      </c>
      <c r="B60" s="245" t="str">
        <f>_xlfn.XLOOKUP(A60,A50:A57,B50:B57,"")</f>
        <v/>
      </c>
    </row>
    <row r="62" spans="1:4">
      <c r="A62" s="245"/>
      <c r="B62" s="245" t="s">
        <v>942</v>
      </c>
      <c r="C62" s="245" t="s">
        <v>1006</v>
      </c>
    </row>
    <row r="63" spans="1:4">
      <c r="A63" s="245" t="s">
        <v>878</v>
      </c>
      <c r="B63" s="245">
        <f ca="1">MATCH(A63,locHeader_modSpringData_L1,0)</f>
        <v>13</v>
      </c>
      <c r="C63" s="245" t="str" cm="1">
        <f t="array" aca="1" ref="C63" ca="1">_xlfn.XLOOKUP($B$60,OFFSET(locTable_modSpringData_L2_all,0,$B$65-1,,1),OFFSET(locTable_modSpringData_L2_all,0,B63-1,,1),"")</f>
        <v/>
      </c>
      <c r="D63" t="s">
        <v>1062</v>
      </c>
    </row>
    <row r="64" spans="1:4">
      <c r="A64" s="245" t="s">
        <v>912</v>
      </c>
      <c r="B64" s="245">
        <f ca="1">MATCH(A64,locHeader_modSpringData_L1,0)</f>
        <v>3</v>
      </c>
      <c r="C64" s="245" t="str" cm="1">
        <f t="array" aca="1" ref="C64" ca="1">_xlfn.XLOOKUP($B$60,OFFSET(locTable_modSpringData_L2_all,0,$B$65-1,,1),OFFSET(locTable_modSpringData_L2_all,0,B64-1,,1),"")</f>
        <v/>
      </c>
      <c r="D64" t="s">
        <v>1063</v>
      </c>
    </row>
    <row r="65" spans="1:3">
      <c r="A65" s="245" t="s">
        <v>880</v>
      </c>
      <c r="B65" s="245">
        <f ca="1">MATCH(A65,locHeader_modSpringData_L1,0)</f>
        <v>17</v>
      </c>
      <c r="C65" s="245" t="str" cm="1">
        <f t="array" aca="1" ref="C65" ca="1">_xlfn.XLOOKUP(B62,OFFSET(locTable_modSpringData_L2_all,0,B67-1,,1),OFFSET(locTable_modSpringData_L2_all,0,B65-1,,1),"")</f>
        <v/>
      </c>
    </row>
    <row r="66" spans="1:3">
      <c r="A66" t="e" cm="1">
        <f t="array" aca="1" ref="A66" ca="1">L_CompatibleESABooster</f>
        <v>#REF!</v>
      </c>
    </row>
  </sheetData>
  <dataValidations disablePrompts="1" count="3">
    <dataValidation type="list" allowBlank="1" showInputMessage="1" showErrorMessage="1" sqref="B9" xr:uid="{EF77D698-7DC2-48FE-85D0-227716C46361}">
      <formula1>O_TrueFalse</formula1>
    </dataValidation>
    <dataValidation type="list" allowBlank="1" showInputMessage="1" showErrorMessage="1" sqref="B21" xr:uid="{AF49E927-FF0F-421A-8408-0E9D9710731E}">
      <formula1>DC_ListDrop</formula1>
    </dataValidation>
    <dataValidation type="list" allowBlank="1" showInputMessage="1" showErrorMessage="1" sqref="B12" xr:uid="{CD4C1AA2-A9E8-4CE7-9101-B59FCC23B376}">
      <formula1>O_YesNo</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anchor moveWithCells="1" sizeWithCells="1">
                  <from>
                    <xdr:col>0</xdr:col>
                    <xdr:colOff>165100</xdr:colOff>
                    <xdr:row>3</xdr:row>
                    <xdr:rowOff>38100</xdr:rowOff>
                  </from>
                  <to>
                    <xdr:col>2</xdr:col>
                    <xdr:colOff>146050</xdr:colOff>
                    <xdr:row>4</xdr:row>
                    <xdr:rowOff>374650</xdr:rowOff>
                  </to>
                </anchor>
              </controlPr>
            </control>
          </mc:Choice>
        </mc:AlternateContent>
        <mc:AlternateContent xmlns:mc="http://schemas.openxmlformats.org/markup-compatibility/2006">
          <mc:Choice Requires="x14">
            <control shapeId="20482" r:id="rId5" name="Button 2">
              <controlPr defaultSize="0" print="0" autoFill="0" autoPict="0">
                <anchor moveWithCells="1" sizeWithCells="1">
                  <from>
                    <xdr:col>7</xdr:col>
                    <xdr:colOff>336550</xdr:colOff>
                    <xdr:row>1</xdr:row>
                    <xdr:rowOff>69850</xdr:rowOff>
                  </from>
                  <to>
                    <xdr:col>9</xdr:col>
                    <xdr:colOff>488950</xdr:colOff>
                    <xdr:row>4</xdr:row>
                    <xdr:rowOff>107950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CAF21-73C2-4DBD-8AC9-DEC54C8CDFC1}">
  <sheetPr codeName="Sheet6"/>
  <dimension ref="A1:S100"/>
  <sheetViews>
    <sheetView showGridLines="0" showRowColHeaders="0" showRuler="0" zoomScale="115" zoomScaleNormal="115" workbookViewId="0">
      <selection activeCell="B91" sqref="B91"/>
    </sheetView>
  </sheetViews>
  <sheetFormatPr defaultRowHeight="14.5"/>
  <cols>
    <col min="1" max="1" width="3" customWidth="1"/>
    <col min="2" max="2" width="58.54296875" style="214" bestFit="1" customWidth="1"/>
    <col min="3" max="3" width="17.54296875" style="214" customWidth="1"/>
    <col min="4" max="4" width="16.54296875" style="214" customWidth="1"/>
    <col min="5" max="5" width="17.1796875" style="214" customWidth="1"/>
    <col min="6" max="7" width="13.54296875" customWidth="1"/>
    <col min="8" max="9" width="15.54296875" customWidth="1"/>
    <col min="10" max="11" width="29.1796875" style="1" customWidth="1"/>
    <col min="12" max="12" width="15.1796875" customWidth="1"/>
    <col min="14" max="14" width="20.54296875" style="214" customWidth="1"/>
    <col min="15" max="15" width="28.453125" style="214" customWidth="1"/>
    <col min="16" max="16" width="27.54296875" customWidth="1"/>
    <col min="17" max="17" width="48" style="214" customWidth="1"/>
    <col min="18" max="19" width="9.1796875" style="214"/>
  </cols>
  <sheetData>
    <row r="1" spans="2:19" ht="15" thickBot="1">
      <c r="F1" s="214"/>
      <c r="G1" s="214"/>
      <c r="H1" s="214"/>
      <c r="I1" s="214"/>
      <c r="J1" s="215"/>
      <c r="K1" s="215"/>
      <c r="L1" s="214"/>
      <c r="M1" s="214"/>
      <c r="N1" s="216" t="s">
        <v>236</v>
      </c>
      <c r="O1" s="215"/>
      <c r="P1" s="214"/>
      <c r="Q1"/>
      <c r="R1"/>
      <c r="S1"/>
    </row>
    <row r="2" spans="2:19" ht="31.5" thickBot="1">
      <c r="B2" s="218" t="s">
        <v>16</v>
      </c>
      <c r="C2" s="281" t="s">
        <v>226</v>
      </c>
      <c r="D2" s="220" t="s">
        <v>241</v>
      </c>
      <c r="E2" s="281" t="s">
        <v>239</v>
      </c>
      <c r="F2" s="220" t="s">
        <v>240</v>
      </c>
      <c r="G2" s="219" t="s">
        <v>498</v>
      </c>
      <c r="H2" s="219" t="s">
        <v>499</v>
      </c>
      <c r="I2" s="421"/>
      <c r="J2" s="281" t="s">
        <v>518</v>
      </c>
      <c r="K2" s="281" t="s">
        <v>245</v>
      </c>
      <c r="L2" s="281"/>
      <c r="M2" s="214"/>
      <c r="N2" s="215">
        <f>COUNTA(_xlfn.ANCHORARRAY(P4))</f>
        <v>28</v>
      </c>
      <c r="O2" s="215"/>
      <c r="P2" s="214"/>
      <c r="Q2"/>
      <c r="R2"/>
      <c r="S2"/>
    </row>
    <row r="3" spans="2:19" ht="29.5" thickBot="1">
      <c r="B3" s="221" t="s">
        <v>16</v>
      </c>
      <c r="C3" s="284" t="s">
        <v>238</v>
      </c>
      <c r="D3" s="285" t="s">
        <v>243</v>
      </c>
      <c r="E3" s="286" t="s">
        <v>237</v>
      </c>
      <c r="F3" s="287" t="s">
        <v>242</v>
      </c>
      <c r="G3" s="282" t="s">
        <v>506</v>
      </c>
      <c r="H3" s="282" t="s">
        <v>507</v>
      </c>
      <c r="I3" s="422" t="s">
        <v>702</v>
      </c>
      <c r="J3" s="326" t="s">
        <v>419</v>
      </c>
      <c r="K3" s="282" t="s">
        <v>245</v>
      </c>
      <c r="L3" s="430" t="s">
        <v>703</v>
      </c>
      <c r="M3" s="430" t="s">
        <v>741</v>
      </c>
      <c r="N3" s="282"/>
      <c r="O3" s="282"/>
      <c r="P3" s="438" t="s">
        <v>706</v>
      </c>
      <c r="R3"/>
      <c r="S3"/>
    </row>
    <row r="4" spans="2:19">
      <c r="B4" s="291" t="str">
        <f>z_AvgFabric</f>
        <v>_Average Fabric</v>
      </c>
      <c r="C4" s="292">
        <v>0.65</v>
      </c>
      <c r="D4" s="293">
        <v>400</v>
      </c>
      <c r="E4" s="294">
        <f>T_Fabric[[#This Row],[Thickness_Metric]]/25.4</f>
        <v>2.5590551181102365E-2</v>
      </c>
      <c r="F4" s="295">
        <f>T_Fabric[[#This Row],[Density_Metric]]/33.90574744</f>
        <v>11.797409884794448</v>
      </c>
      <c r="G4" s="325" t="s">
        <v>500</v>
      </c>
      <c r="H4" s="327" t="s">
        <v>500</v>
      </c>
      <c r="I4" s="423" t="s">
        <v>500</v>
      </c>
      <c r="J4" s="27" t="s">
        <v>500</v>
      </c>
      <c r="K4" s="1" t="s">
        <v>420</v>
      </c>
      <c r="L4" s="1">
        <f>IF(AND(i_Fabric&lt;&gt;"",i_Fabric=T_Fabric[[#This Row],[Description]]),1,0)</f>
        <v>0</v>
      </c>
      <c r="M4" s="1">
        <f>IF(i_Region="Global",1,IF(OR(i_Region=T_Fabric[[#This Row],[Region]],T_Fabric[[#This Row],[Region]]="Global"),1,0))</f>
        <v>1</v>
      </c>
      <c r="N4"/>
      <c r="O4" t="str" cm="1">
        <f t="array" ref="O4:O40">_xlfn._xlws.SORT(_xlfn._xlws.FILTER(T_Fabric[Description],T_Fabric[RegionReturn],"Not Found"))</f>
        <v/>
      </c>
      <c r="P4" s="214" t="str" cm="1">
        <f t="array" ref="P4:P31">IF(o_FabricMatch="Yes",_xlfn._xlws.SORT(_xlfn._xlws.FILTER($O$4:$O$100,LEN($O$4:$O$100)&gt;1)),_xlfn._xlws.SORT(_xlfn._xlws.FILTER($O$4:$O$100,ISNUMBER(SEARCH(i_Fabric,$O$4:$O$100)),"Not Found")))</f>
        <v>_Average Fabric</v>
      </c>
      <c r="R4"/>
      <c r="S4"/>
    </row>
    <row r="5" spans="2:19">
      <c r="B5" s="296" t="str">
        <f>z_CustomFData</f>
        <v>_Custom Fabric Data</v>
      </c>
      <c r="C5" s="299">
        <f>IF(i_Units="Imperial",i_FThickness_Custom*25.4,i_FThickness_Custom)</f>
        <v>0</v>
      </c>
      <c r="D5" s="300">
        <f>IF(i_Units="imperial",i_Fdensity_Custom*33.90574744,i_Fdensity_Custom)</f>
        <v>0</v>
      </c>
      <c r="E5" s="283">
        <f>IF(i_Units="Metric",i_FThickness_Custom/25.4,i_FThickness_Custom)</f>
        <v>0</v>
      </c>
      <c r="F5" s="295">
        <f>IF(i_Units="Metric",T_Fabric[[#This Row],[Density_Metric]]/33.90574744,i_Fdensity_Custom)</f>
        <v>0</v>
      </c>
      <c r="G5" s="325" t="s">
        <v>500</v>
      </c>
      <c r="H5" s="327" t="s">
        <v>500</v>
      </c>
      <c r="I5" s="423" t="s">
        <v>500</v>
      </c>
      <c r="J5" s="27" t="s">
        <v>500</v>
      </c>
      <c r="K5" s="1" t="s">
        <v>420</v>
      </c>
      <c r="L5" s="1">
        <f>IF(AND(i_Fabric&lt;&gt;"",i_Fabric=T_Fabric[[#This Row],[Description]]),1,0)</f>
        <v>0</v>
      </c>
      <c r="M5" s="1">
        <f>IF(i_Region="Global",1,IF(OR(i_Region=T_Fabric[[#This Row],[Region]],T_Fabric[[#This Row],[Region]]="Global"),1,0))</f>
        <v>1</v>
      </c>
      <c r="N5"/>
      <c r="O5" t="str">
        <v/>
      </c>
      <c r="P5" s="214" t="str">
        <v>_Custom Fabric Data</v>
      </c>
      <c r="R5"/>
      <c r="S5"/>
    </row>
    <row r="6" spans="2:19">
      <c r="B6" s="296" t="s">
        <v>709</v>
      </c>
      <c r="C6" s="292">
        <v>0.6</v>
      </c>
      <c r="D6" s="293">
        <v>483</v>
      </c>
      <c r="E6" s="294">
        <f>T_Fabric[[#This Row],[Thickness_Metric]]/25.4</f>
        <v>2.3622047244094488E-2</v>
      </c>
      <c r="F6" s="295">
        <f>T_Fabric[[#This Row],[Density_Metric]]/33.90574744</f>
        <v>14.245372435889294</v>
      </c>
      <c r="G6" s="325">
        <v>118</v>
      </c>
      <c r="H6" s="327">
        <f>ROUND((T_Fabric[[#This Row],[RollWidth_Imperial]]*25.4)/1000,2)*1000</f>
        <v>3000</v>
      </c>
      <c r="I6" s="423" t="s">
        <v>122</v>
      </c>
      <c r="J6" s="27" t="str">
        <f>z_Fabric_RR_No</f>
        <v>Fabric cannot be railroaded.</v>
      </c>
      <c r="K6" s="1" t="s">
        <v>266</v>
      </c>
      <c r="L6" s="1">
        <f>IF(AND(i_Fabric&lt;&gt;"",i_Fabric=T_Fabric[[#This Row],[Description]]),1,0)</f>
        <v>0</v>
      </c>
      <c r="M6" s="1">
        <f>IF(i_Region="Global",1,IF(OR(i_Region=T_Fabric[[#This Row],[Region]],T_Fabric[[#This Row],[Region]]="Global"),1,0))</f>
        <v>0</v>
      </c>
      <c r="N6"/>
      <c r="O6" t="str">
        <v/>
      </c>
      <c r="P6" s="214" t="str">
        <v>Balmoral Blackout</v>
      </c>
      <c r="R6"/>
      <c r="S6"/>
    </row>
    <row r="7" spans="2:19">
      <c r="B7" s="296" t="s">
        <v>710</v>
      </c>
      <c r="C7" s="292">
        <v>0.56000000000000005</v>
      </c>
      <c r="D7" s="293">
        <v>475</v>
      </c>
      <c r="E7" s="294">
        <f>T_Fabric[[#This Row],[Thickness_Metric]]/25.4</f>
        <v>2.2047244094488192E-2</v>
      </c>
      <c r="F7" s="295">
        <f>T_Fabric[[#This Row],[Density_Metric]]/33.90574744</f>
        <v>14.009424238193406</v>
      </c>
      <c r="G7" s="325">
        <v>118</v>
      </c>
      <c r="H7" s="327">
        <f>ROUND((T_Fabric[[#This Row],[RollWidth_Imperial]]*25.4)/1000,2)*1000</f>
        <v>3000</v>
      </c>
      <c r="I7" s="423" t="s">
        <v>122</v>
      </c>
      <c r="J7" s="27" t="str">
        <f>z_Fabric_RR_No</f>
        <v>Fabric cannot be railroaded.</v>
      </c>
      <c r="K7" s="1" t="s">
        <v>266</v>
      </c>
      <c r="L7" s="1">
        <f>IF(AND(i_Fabric&lt;&gt;"",i_Fabric=T_Fabric[[#This Row],[Description]]),1,0)</f>
        <v>0</v>
      </c>
      <c r="M7" s="1">
        <f>IF(i_Region="Global",1,IF(OR(i_Region=T_Fabric[[#This Row],[Region]],T_Fabric[[#This Row],[Region]]="Global"),1,0))</f>
        <v>0</v>
      </c>
      <c r="N7"/>
      <c r="O7" t="str">
        <v/>
      </c>
      <c r="P7" s="214" t="str">
        <v>Balmoral Light Filtering</v>
      </c>
      <c r="R7"/>
      <c r="S7"/>
    </row>
    <row r="8" spans="2:19">
      <c r="B8" s="296" t="s">
        <v>711</v>
      </c>
      <c r="C8" s="292">
        <v>0.56000000000000005</v>
      </c>
      <c r="D8" s="293">
        <v>445</v>
      </c>
      <c r="E8" s="294">
        <f>T_Fabric[[#This Row],[Thickness_Metric]]/25.4</f>
        <v>2.2047244094488192E-2</v>
      </c>
      <c r="F8" s="295">
        <f>T_Fabric[[#This Row],[Density_Metric]]/33.90574744</f>
        <v>13.124618496833822</v>
      </c>
      <c r="G8" s="325">
        <v>118</v>
      </c>
      <c r="H8" s="327">
        <f>ROUND((T_Fabric[[#This Row],[RollWidth_Imperial]]*25.4)/1000,2)*1000</f>
        <v>3000</v>
      </c>
      <c r="I8" s="423" t="s">
        <v>122</v>
      </c>
      <c r="J8" s="27" t="str">
        <f>z_Fabric_RR_Yes</f>
        <v>Fabric can be railroaded.</v>
      </c>
      <c r="K8" s="1" t="s">
        <v>420</v>
      </c>
      <c r="L8" s="1">
        <f>IF(AND(i_Fabric&lt;&gt;"",i_Fabric=T_Fabric[[#This Row],[Description]]),1,0)</f>
        <v>0</v>
      </c>
      <c r="M8" s="1">
        <f>IF(i_Region="Global",1,IF(OR(i_Region=T_Fabric[[#This Row],[Region]],T_Fabric[[#This Row],[Region]]="Global"),1,0))</f>
        <v>1</v>
      </c>
      <c r="N8"/>
      <c r="O8" t="str">
        <v/>
      </c>
      <c r="P8" s="214" t="str">
        <v>Barbados</v>
      </c>
      <c r="R8"/>
      <c r="S8"/>
    </row>
    <row r="9" spans="2:19">
      <c r="B9" s="296" t="s">
        <v>599</v>
      </c>
      <c r="C9" s="292">
        <v>0.68</v>
      </c>
      <c r="D9" s="293">
        <v>518</v>
      </c>
      <c r="E9" s="294">
        <f>T_Fabric[[#This Row],[Thickness_Metric]]/25.4</f>
        <v>2.677165354330709E-2</v>
      </c>
      <c r="F9" s="295">
        <f>T_Fabric[[#This Row],[Density_Metric]]/33.90574744</f>
        <v>15.277645800808809</v>
      </c>
      <c r="G9" s="325">
        <v>118</v>
      </c>
      <c r="H9" s="327">
        <f>ROUND((T_Fabric[[#This Row],[RollWidth_Imperial]]*25.4)/1000,2)*1000</f>
        <v>3000</v>
      </c>
      <c r="I9" s="423" t="s">
        <v>121</v>
      </c>
      <c r="J9" s="27" t="str">
        <f>z_Fabric_RR_Yes</f>
        <v>Fabric can be railroaded.</v>
      </c>
      <c r="K9" s="1" t="s">
        <v>266</v>
      </c>
      <c r="L9" s="1">
        <f>IF(AND(i_Fabric&lt;&gt;"",i_Fabric=T_Fabric[[#This Row],[Description]]),1,0)</f>
        <v>0</v>
      </c>
      <c r="M9" s="1">
        <f>IF(i_Region="Global",1,IF(OR(i_Region=T_Fabric[[#This Row],[Region]],T_Fabric[[#This Row],[Region]]="Global"),1,0))</f>
        <v>0</v>
      </c>
      <c r="N9"/>
      <c r="O9" t="str">
        <v/>
      </c>
      <c r="P9" s="214" t="str">
        <v>Dakota</v>
      </c>
      <c r="R9"/>
      <c r="S9"/>
    </row>
    <row r="10" spans="2:19">
      <c r="B10" s="296" t="s">
        <v>600</v>
      </c>
      <c r="C10" s="292">
        <v>0.68</v>
      </c>
      <c r="D10" s="293">
        <v>518</v>
      </c>
      <c r="E10" s="294">
        <f>T_Fabric[[#This Row],[Thickness_Metric]]/25.4</f>
        <v>2.677165354330709E-2</v>
      </c>
      <c r="F10" s="295">
        <f>T_Fabric[[#This Row],[Density_Metric]]/33.90574744</f>
        <v>15.277645800808809</v>
      </c>
      <c r="G10" s="325">
        <v>118</v>
      </c>
      <c r="H10" s="327">
        <f>ROUND((T_Fabric[[#This Row],[RollWidth_Imperial]]*25.4)/1000,2)*1000</f>
        <v>3000</v>
      </c>
      <c r="I10" s="423" t="s">
        <v>121</v>
      </c>
      <c r="J10" s="27" t="str">
        <f>z_Fabric_RR_Yes</f>
        <v>Fabric can be railroaded.</v>
      </c>
      <c r="K10" s="1" t="s">
        <v>266</v>
      </c>
      <c r="L10" s="1">
        <f>IF(AND(i_Fabric&lt;&gt;"",i_Fabric=T_Fabric[[#This Row],[Description]]),1,0)</f>
        <v>0</v>
      </c>
      <c r="M10" s="1">
        <f>IF(i_Region="Global",1,IF(OR(i_Region=T_Fabric[[#This Row],[Region]],T_Fabric[[#This Row],[Region]]="Global"),1,0))</f>
        <v>0</v>
      </c>
      <c r="N10"/>
      <c r="O10" t="str">
        <v/>
      </c>
      <c r="P10" s="214" t="str">
        <v>EnviroScreen</v>
      </c>
      <c r="R10"/>
      <c r="S10"/>
    </row>
    <row r="11" spans="2:19">
      <c r="B11" s="296" t="s">
        <v>601</v>
      </c>
      <c r="C11" s="292">
        <v>0.56999999999999995</v>
      </c>
      <c r="D11" s="293">
        <v>445</v>
      </c>
      <c r="E11" s="294">
        <f>T_Fabric[[#This Row],[Thickness_Metric]]/25.4</f>
        <v>2.2440944881889763E-2</v>
      </c>
      <c r="F11" s="295">
        <f>T_Fabric[[#This Row],[Density_Metric]]/33.90574744</f>
        <v>13.124618496833822</v>
      </c>
      <c r="G11" s="325">
        <v>118</v>
      </c>
      <c r="H11" s="327">
        <f>ROUND((T_Fabric[[#This Row],[RollWidth_Imperial]]*25.4)/1000,2)*1000</f>
        <v>3000</v>
      </c>
      <c r="I11" s="423" t="s">
        <v>121</v>
      </c>
      <c r="J11" s="27" t="str">
        <f>z_Fabric_RR_Yes</f>
        <v>Fabric can be railroaded.</v>
      </c>
      <c r="K11" s="1" t="s">
        <v>266</v>
      </c>
      <c r="L11" s="1">
        <f>IF(AND(i_Fabric&lt;&gt;"",i_Fabric=T_Fabric[[#This Row],[Description]]),1,0)</f>
        <v>0</v>
      </c>
      <c r="M11" s="1">
        <f>IF(i_Region="Global",1,IF(OR(i_Region=T_Fabric[[#This Row],[Region]],T_Fabric[[#This Row],[Region]]="Global"),1,0))</f>
        <v>0</v>
      </c>
      <c r="N11"/>
      <c r="O11" t="str">
        <v/>
      </c>
      <c r="P11" s="214" t="str">
        <v>Focus</v>
      </c>
      <c r="R11"/>
      <c r="S11"/>
    </row>
    <row r="12" spans="2:19">
      <c r="B12" s="296" t="s">
        <v>602</v>
      </c>
      <c r="C12" s="297">
        <v>0.55000000000000004</v>
      </c>
      <c r="D12" s="298">
        <v>420</v>
      </c>
      <c r="E12" s="294">
        <f>T_Fabric[[#This Row],[Thickness_Metric]]/25.4</f>
        <v>2.1653543307086617E-2</v>
      </c>
      <c r="F12" s="295">
        <f>T_Fabric[[#This Row],[Density_Metric]]/33.90574744</f>
        <v>12.38728037903417</v>
      </c>
      <c r="G12" s="325">
        <v>118</v>
      </c>
      <c r="H12" s="327">
        <f>ROUND((T_Fabric[[#This Row],[RollWidth_Imperial]]*25.4)/1000,2)*1000</f>
        <v>3000</v>
      </c>
      <c r="I12" s="423" t="s">
        <v>121</v>
      </c>
      <c r="J12" s="27" t="str">
        <f>z_Fabric_RR_Yes</f>
        <v>Fabric can be railroaded.</v>
      </c>
      <c r="K12" s="1" t="s">
        <v>266</v>
      </c>
      <c r="L12" s="1">
        <f>IF(AND(i_Fabric&lt;&gt;"",i_Fabric=T_Fabric[[#This Row],[Description]]),1,0)</f>
        <v>0</v>
      </c>
      <c r="M12" s="1">
        <f>IF(i_Region="Global",1,IF(OR(i_Region=T_Fabric[[#This Row],[Region]],T_Fabric[[#This Row],[Region]]="Global"),1,0))</f>
        <v>0</v>
      </c>
      <c r="N12"/>
      <c r="O12" t="str">
        <v/>
      </c>
      <c r="P12" s="214" t="str">
        <v>Gala</v>
      </c>
      <c r="R12"/>
      <c r="S12"/>
    </row>
    <row r="13" spans="2:19">
      <c r="B13" s="296" t="s">
        <v>603</v>
      </c>
      <c r="C13" s="292">
        <v>0.52</v>
      </c>
      <c r="D13" s="293">
        <v>385</v>
      </c>
      <c r="E13" s="294">
        <f>T_Fabric[[#This Row],[Thickness_Metric]]/25.4</f>
        <v>2.0472440944881893E-2</v>
      </c>
      <c r="F13" s="295">
        <f>T_Fabric[[#This Row],[Density_Metric]]/33.90574744</f>
        <v>11.355007014114655</v>
      </c>
      <c r="G13" s="325">
        <v>118</v>
      </c>
      <c r="H13" s="327">
        <f>ROUND((T_Fabric[[#This Row],[RollWidth_Imperial]]*25.4)/1000,2)*1000</f>
        <v>3000</v>
      </c>
      <c r="I13" s="423" t="s">
        <v>121</v>
      </c>
      <c r="J13" s="27" t="str">
        <f>z_Fabric_RR_No</f>
        <v>Fabric cannot be railroaded.</v>
      </c>
      <c r="K13" s="1" t="s">
        <v>266</v>
      </c>
      <c r="L13" s="1">
        <f>IF(AND(i_Fabric&lt;&gt;"",i_Fabric=T_Fabric[[#This Row],[Description]]),1,0)</f>
        <v>0</v>
      </c>
      <c r="M13" s="1">
        <f>IF(i_Region="Global",1,IF(OR(i_Region=T_Fabric[[#This Row],[Region]],T_Fabric[[#This Row],[Region]]="Global"),1,0))</f>
        <v>0</v>
      </c>
      <c r="N13"/>
      <c r="O13" t="str">
        <v>_Average Fabric</v>
      </c>
      <c r="P13" s="214" t="str">
        <v>Jersey Blackout</v>
      </c>
      <c r="R13"/>
      <c r="S13"/>
    </row>
    <row r="14" spans="2:19">
      <c r="B14" s="296" t="s">
        <v>604</v>
      </c>
      <c r="C14" s="292">
        <v>0.75</v>
      </c>
      <c r="D14" s="293">
        <v>545</v>
      </c>
      <c r="E14" s="294">
        <f>T_Fabric[[#This Row],[Thickness_Metric]]/25.4</f>
        <v>2.9527559055118113E-2</v>
      </c>
      <c r="F14" s="295">
        <f>T_Fabric[[#This Row],[Density_Metric]]/33.90574744</f>
        <v>16.073970968032434</v>
      </c>
      <c r="G14" s="325">
        <v>118</v>
      </c>
      <c r="H14" s="327">
        <f>ROUND((T_Fabric[[#This Row],[RollWidth_Imperial]]*25.4)/1000,2)*1000</f>
        <v>3000</v>
      </c>
      <c r="I14" s="423" t="s">
        <v>121</v>
      </c>
      <c r="J14" s="27" t="str">
        <f>z_Fabric_RR_No</f>
        <v>Fabric cannot be railroaded.</v>
      </c>
      <c r="K14" s="1" t="s">
        <v>266</v>
      </c>
      <c r="L14" s="1">
        <f>IF(AND(i_Fabric&lt;&gt;"",i_Fabric=T_Fabric[[#This Row],[Description]]),1,0)</f>
        <v>0</v>
      </c>
      <c r="M14" s="1">
        <f>IF(i_Region="Global",1,IF(OR(i_Region=T_Fabric[[#This Row],[Region]],T_Fabric[[#This Row],[Region]]="Global"),1,0))</f>
        <v>0</v>
      </c>
      <c r="N14"/>
      <c r="O14" t="str">
        <v>_Custom Fabric Data</v>
      </c>
      <c r="P14" s="214" t="str">
        <v>Jersey Light Filtering</v>
      </c>
      <c r="R14"/>
      <c r="S14"/>
    </row>
    <row r="15" spans="2:19">
      <c r="B15" s="296" t="s">
        <v>605</v>
      </c>
      <c r="C15" s="292">
        <v>0.7</v>
      </c>
      <c r="D15" s="293">
        <v>520</v>
      </c>
      <c r="E15" s="294">
        <f>T_Fabric[[#This Row],[Thickness_Metric]]/25.4</f>
        <v>2.7559055118110236E-2</v>
      </c>
      <c r="F15" s="295">
        <f>T_Fabric[[#This Row],[Density_Metric]]/33.90574744</f>
        <v>15.336632850232782</v>
      </c>
      <c r="G15" s="325">
        <v>118</v>
      </c>
      <c r="H15" s="327">
        <f>ROUND((T_Fabric[[#This Row],[RollWidth_Imperial]]*25.4)/1000,2)*1000</f>
        <v>3000</v>
      </c>
      <c r="I15" s="423" t="s">
        <v>121</v>
      </c>
      <c r="J15" s="27" t="str">
        <f>z_Fabric_RR_Yes</f>
        <v>Fabric can be railroaded.</v>
      </c>
      <c r="K15" s="1" t="s">
        <v>266</v>
      </c>
      <c r="L15" s="1">
        <f>IF(AND(i_Fabric&lt;&gt;"",i_Fabric=T_Fabric[[#This Row],[Description]]),1,0)</f>
        <v>0</v>
      </c>
      <c r="M15" s="1">
        <f>IF(i_Region="Global",1,IF(OR(i_Region=T_Fabric[[#This Row],[Region]],T_Fabric[[#This Row],[Region]]="Global"),1,0))</f>
        <v>0</v>
      </c>
      <c r="N15"/>
      <c r="O15" t="str">
        <v>Balmoral Blackout</v>
      </c>
      <c r="P15" s="214" t="str">
        <v>Kew</v>
      </c>
      <c r="R15"/>
      <c r="S15"/>
    </row>
    <row r="16" spans="2:19">
      <c r="B16" s="296" t="s">
        <v>606</v>
      </c>
      <c r="C16" s="292">
        <v>0.6</v>
      </c>
      <c r="D16" s="293">
        <v>415</v>
      </c>
      <c r="E16" s="294">
        <f>T_Fabric[[#This Row],[Thickness_Metric]]/25.4</f>
        <v>2.3622047244094488E-2</v>
      </c>
      <c r="F16" s="295">
        <f>T_Fabric[[#This Row],[Density_Metric]]/33.90574744</f>
        <v>12.239812755474238</v>
      </c>
      <c r="G16" s="325">
        <v>98.4</v>
      </c>
      <c r="H16" s="327">
        <f>ROUND((T_Fabric[[#This Row],[RollWidth_Imperial]]*25.4)/1000,2)*1000</f>
        <v>2500</v>
      </c>
      <c r="I16" s="423" t="s">
        <v>122</v>
      </c>
      <c r="J16" s="27" t="str">
        <f>z_Fabric_RR_Yes</f>
        <v>Fabric can be railroaded.</v>
      </c>
      <c r="K16" s="1" t="s">
        <v>266</v>
      </c>
      <c r="L16" s="1">
        <f>IF(AND(i_Fabric&lt;&gt;"",i_Fabric=T_Fabric[[#This Row],[Description]]),1,0)</f>
        <v>0</v>
      </c>
      <c r="M16" s="1">
        <f>IF(i_Region="Global",1,IF(OR(i_Region=T_Fabric[[#This Row],[Region]],T_Fabric[[#This Row],[Region]]="Global"),1,0))</f>
        <v>0</v>
      </c>
      <c r="N16"/>
      <c r="O16" t="str">
        <v>Balmoral Light Filtering</v>
      </c>
      <c r="P16" s="214" t="str">
        <v>Kleenscreen 5%</v>
      </c>
      <c r="R16"/>
      <c r="S16"/>
    </row>
    <row r="17" spans="2:19">
      <c r="B17" s="296" t="s">
        <v>607</v>
      </c>
      <c r="C17" s="292">
        <v>0.5</v>
      </c>
      <c r="D17" s="293">
        <v>395</v>
      </c>
      <c r="E17" s="294">
        <f>T_Fabric[[#This Row],[Thickness_Metric]]/25.4</f>
        <v>1.968503937007874E-2</v>
      </c>
      <c r="F17" s="295">
        <f>T_Fabric[[#This Row],[Density_Metric]]/33.90574744</f>
        <v>11.649942261234516</v>
      </c>
      <c r="G17" s="325">
        <v>98.4</v>
      </c>
      <c r="H17" s="327">
        <f>ROUND((T_Fabric[[#This Row],[RollWidth_Imperial]]*25.4)/1000,2)*1000</f>
        <v>2500</v>
      </c>
      <c r="I17" s="423" t="s">
        <v>122</v>
      </c>
      <c r="J17" s="27" t="str">
        <f>z_Fabric_RR_No</f>
        <v>Fabric cannot be railroaded.</v>
      </c>
      <c r="K17" s="1" t="s">
        <v>266</v>
      </c>
      <c r="L17" s="1">
        <f>IF(AND(i_Fabric&lt;&gt;"",i_Fabric=T_Fabric[[#This Row],[Description]]),1,0)</f>
        <v>0</v>
      </c>
      <c r="M17" s="1">
        <f>IF(i_Region="Global",1,IF(OR(i_Region=T_Fabric[[#This Row],[Region]],T_Fabric[[#This Row],[Region]]="Global"),1,0))</f>
        <v>0</v>
      </c>
      <c r="N17"/>
      <c r="O17" t="str">
        <v>Barbados</v>
      </c>
      <c r="P17" s="214" t="str">
        <v>Kleenscreen Blackout</v>
      </c>
      <c r="R17"/>
      <c r="S17"/>
    </row>
    <row r="18" spans="2:19">
      <c r="B18" s="296" t="s">
        <v>608</v>
      </c>
      <c r="C18" s="292">
        <v>0.56999999999999995</v>
      </c>
      <c r="D18" s="293">
        <v>425</v>
      </c>
      <c r="E18" s="294">
        <f>T_Fabric[[#This Row],[Thickness_Metric]]/25.4</f>
        <v>2.2440944881889763E-2</v>
      </c>
      <c r="F18" s="295">
        <f>T_Fabric[[#This Row],[Density_Metric]]/33.90574744</f>
        <v>12.5347480025941</v>
      </c>
      <c r="G18" s="325">
        <v>98.4</v>
      </c>
      <c r="H18" s="327">
        <f>ROUND((T_Fabric[[#This Row],[RollWidth_Imperial]]*25.4)/1000,2)*1000</f>
        <v>2500</v>
      </c>
      <c r="I18" s="423" t="s">
        <v>122</v>
      </c>
      <c r="J18" s="27" t="str">
        <f t="shared" ref="J18:J23" si="0">z_Fabric_RR_Yes</f>
        <v>Fabric can be railroaded.</v>
      </c>
      <c r="K18" s="1" t="s">
        <v>266</v>
      </c>
      <c r="L18" s="1">
        <f>IF(AND(i_Fabric&lt;&gt;"",i_Fabric=T_Fabric[[#This Row],[Description]]),1,0)</f>
        <v>0</v>
      </c>
      <c r="M18" s="1">
        <f>IF(i_Region="Global",1,IF(OR(i_Region=T_Fabric[[#This Row],[Region]],T_Fabric[[#This Row],[Region]]="Global"),1,0))</f>
        <v>0</v>
      </c>
      <c r="N18"/>
      <c r="O18" t="str">
        <v>Dakota</v>
      </c>
      <c r="P18" s="214" t="str">
        <v>Metroshade Blackout</v>
      </c>
      <c r="R18"/>
      <c r="S18"/>
    </row>
    <row r="19" spans="2:19">
      <c r="B19" s="296" t="s">
        <v>609</v>
      </c>
      <c r="C19" s="297">
        <v>0.9</v>
      </c>
      <c r="D19" s="298">
        <v>630</v>
      </c>
      <c r="E19" s="294">
        <f>T_Fabric[[#This Row],[Thickness_Metric]]/25.4</f>
        <v>3.5433070866141732E-2</v>
      </c>
      <c r="F19" s="295">
        <f>T_Fabric[[#This Row],[Density_Metric]]/33.90574744</f>
        <v>18.580920568551253</v>
      </c>
      <c r="G19" s="325">
        <v>98.4</v>
      </c>
      <c r="H19" s="327">
        <f>ROUND((T_Fabric[[#This Row],[RollWidth_Imperial]]*25.4)/1000,2)*1000</f>
        <v>2500</v>
      </c>
      <c r="I19" s="423" t="s">
        <v>122</v>
      </c>
      <c r="J19" s="27" t="str">
        <f t="shared" si="0"/>
        <v>Fabric can be railroaded.</v>
      </c>
      <c r="K19" s="1" t="s">
        <v>266</v>
      </c>
      <c r="L19" s="1">
        <f>IF(AND(i_Fabric&lt;&gt;"",i_Fabric=T_Fabric[[#This Row],[Description]]),1,0)</f>
        <v>0</v>
      </c>
      <c r="M19" s="1">
        <f>IF(i_Region="Global",1,IF(OR(i_Region=T_Fabric[[#This Row],[Region]],T_Fabric[[#This Row],[Region]]="Global"),1,0))</f>
        <v>0</v>
      </c>
      <c r="N19"/>
      <c r="O19" t="str">
        <v>EnviroScreen</v>
      </c>
      <c r="P19" s="214" t="str">
        <v>Metroshade Light Filtering</v>
      </c>
      <c r="R19"/>
      <c r="S19"/>
    </row>
    <row r="20" spans="2:19">
      <c r="B20" s="296" t="s">
        <v>610</v>
      </c>
      <c r="C20" s="297">
        <v>0.83</v>
      </c>
      <c r="D20" s="298">
        <v>455</v>
      </c>
      <c r="E20" s="294">
        <f>T_Fabric[[#This Row],[Thickness_Metric]]/25.4</f>
        <v>3.2677165354330712E-2</v>
      </c>
      <c r="F20" s="295">
        <f>T_Fabric[[#This Row],[Density_Metric]]/33.90574744</f>
        <v>13.419553743953683</v>
      </c>
      <c r="G20" s="325">
        <v>98.4</v>
      </c>
      <c r="H20" s="327">
        <f>ROUND((T_Fabric[[#This Row],[RollWidth_Imperial]]*25.4)/1000,2)*1000</f>
        <v>2500</v>
      </c>
      <c r="I20" s="423" t="s">
        <v>122</v>
      </c>
      <c r="J20" s="27" t="str">
        <f t="shared" si="0"/>
        <v>Fabric can be railroaded.</v>
      </c>
      <c r="K20" s="1" t="s">
        <v>266</v>
      </c>
      <c r="L20" s="1">
        <f>IF(AND(i_Fabric&lt;&gt;"",i_Fabric=T_Fabric[[#This Row],[Description]]),1,0)</f>
        <v>0</v>
      </c>
      <c r="M20" s="1">
        <f>IF(i_Region="Global",1,IF(OR(i_Region=T_Fabric[[#This Row],[Region]],T_Fabric[[#This Row],[Region]]="Global"),1,0))</f>
        <v>0</v>
      </c>
      <c r="N20"/>
      <c r="O20" t="str">
        <v>Focus</v>
      </c>
      <c r="P20" s="214" t="str">
        <v>One Block</v>
      </c>
      <c r="R20"/>
      <c r="S20"/>
    </row>
    <row r="21" spans="2:19">
      <c r="B21" s="296" t="s">
        <v>611</v>
      </c>
      <c r="C21" s="292">
        <v>0.65</v>
      </c>
      <c r="D21" s="293">
        <v>445</v>
      </c>
      <c r="E21" s="294">
        <f>T_Fabric[[#This Row],[Thickness_Metric]]/25.4</f>
        <v>2.5590551181102365E-2</v>
      </c>
      <c r="F21" s="295">
        <f>T_Fabric[[#This Row],[Density_Metric]]/33.90574744</f>
        <v>13.124618496833822</v>
      </c>
      <c r="G21" s="325">
        <v>98.4</v>
      </c>
      <c r="H21" s="327">
        <f>ROUND((T_Fabric[[#This Row],[RollWidth_Imperial]]*25.4)/1000,2)*1000</f>
        <v>2500</v>
      </c>
      <c r="I21" s="423" t="s">
        <v>122</v>
      </c>
      <c r="J21" s="27" t="str">
        <f t="shared" si="0"/>
        <v>Fabric can be railroaded.</v>
      </c>
      <c r="K21" s="1" t="s">
        <v>266</v>
      </c>
      <c r="L21" s="1">
        <f>IF(AND(i_Fabric&lt;&gt;"",i_Fabric=T_Fabric[[#This Row],[Description]]),1,0)</f>
        <v>0</v>
      </c>
      <c r="M21" s="1">
        <f>IF(i_Region="Global",1,IF(OR(i_Region=T_Fabric[[#This Row],[Region]],T_Fabric[[#This Row],[Region]]="Global"),1,0))</f>
        <v>0</v>
      </c>
      <c r="N21"/>
      <c r="O21" t="str">
        <v>Gala</v>
      </c>
      <c r="P21" s="214" t="str">
        <v>One Screen</v>
      </c>
      <c r="R21"/>
      <c r="S21"/>
    </row>
    <row r="22" spans="2:19">
      <c r="B22" s="296" t="s">
        <v>612</v>
      </c>
      <c r="C22" s="292">
        <v>0.5</v>
      </c>
      <c r="D22" s="293">
        <v>400</v>
      </c>
      <c r="E22" s="294">
        <f>T_Fabric[[#This Row],[Thickness_Metric]]/25.4</f>
        <v>1.968503937007874E-2</v>
      </c>
      <c r="F22" s="295">
        <f>T_Fabric[[#This Row],[Density_Metric]]/33.90574744</f>
        <v>11.797409884794448</v>
      </c>
      <c r="G22" s="325">
        <v>94</v>
      </c>
      <c r="H22" s="327">
        <f>ROUND((T_Fabric[[#This Row],[RollWidth_Imperial]]*25.4)/1000,2)*1000</f>
        <v>2390</v>
      </c>
      <c r="I22" s="423" t="s">
        <v>122</v>
      </c>
      <c r="J22" s="27" t="str">
        <f t="shared" si="0"/>
        <v>Fabric can be railroaded.</v>
      </c>
      <c r="K22" s="1" t="s">
        <v>266</v>
      </c>
      <c r="L22" s="1">
        <f>IF(AND(i_Fabric&lt;&gt;"",i_Fabric=T_Fabric[[#This Row],[Description]]),1,0)</f>
        <v>0</v>
      </c>
      <c r="M22" s="1">
        <f>IF(i_Region="Global",1,IF(OR(i_Region=T_Fabric[[#This Row],[Region]],T_Fabric[[#This Row],[Region]]="Global"),1,0))</f>
        <v>0</v>
      </c>
      <c r="N22"/>
      <c r="O22" t="str">
        <v>Jersey Blackout</v>
      </c>
      <c r="P22" s="214" t="str">
        <v>Positano</v>
      </c>
      <c r="R22"/>
      <c r="S22"/>
    </row>
    <row r="23" spans="2:19">
      <c r="B23" s="296" t="s">
        <v>613</v>
      </c>
      <c r="C23" s="292">
        <v>0.5</v>
      </c>
      <c r="D23" s="293">
        <v>400</v>
      </c>
      <c r="E23" s="294">
        <f>T_Fabric[[#This Row],[Thickness_Metric]]/25.4</f>
        <v>1.968503937007874E-2</v>
      </c>
      <c r="F23" s="295">
        <f>T_Fabric[[#This Row],[Density_Metric]]/33.90574744</f>
        <v>11.797409884794448</v>
      </c>
      <c r="G23" s="325">
        <v>110</v>
      </c>
      <c r="H23" s="327">
        <f>ROUND((T_Fabric[[#This Row],[RollWidth_Imperial]]*25.4)/1000,2)*1000</f>
        <v>2790</v>
      </c>
      <c r="I23" s="423" t="s">
        <v>122</v>
      </c>
      <c r="J23" s="27" t="str">
        <f t="shared" si="0"/>
        <v>Fabric can be railroaded.</v>
      </c>
      <c r="K23" s="1" t="s">
        <v>266</v>
      </c>
      <c r="L23" s="1">
        <f>IF(AND(i_Fabric&lt;&gt;"",i_Fabric=T_Fabric[[#This Row],[Description]]),1,0)</f>
        <v>0</v>
      </c>
      <c r="M23" s="1">
        <f>IF(i_Region="Global",1,IF(OR(i_Region=T_Fabric[[#This Row],[Region]],T_Fabric[[#This Row],[Region]]="Global"),1,0))</f>
        <v>0</v>
      </c>
      <c r="N23"/>
      <c r="O23" t="str">
        <v>Jersey Light Filtering</v>
      </c>
      <c r="P23" s="214" t="str">
        <v>Riviera Blockout</v>
      </c>
      <c r="R23"/>
      <c r="S23"/>
    </row>
    <row r="24" spans="2:19">
      <c r="B24" s="296" t="s">
        <v>614</v>
      </c>
      <c r="C24" s="292">
        <v>0.55000000000000004</v>
      </c>
      <c r="D24" s="293">
        <v>440</v>
      </c>
      <c r="E24" s="294">
        <f>T_Fabric[[#This Row],[Thickness_Metric]]/25.4</f>
        <v>2.1653543307086617E-2</v>
      </c>
      <c r="F24" s="295">
        <f>T_Fabric[[#This Row],[Density_Metric]]/33.90574744</f>
        <v>12.977150873273892</v>
      </c>
      <c r="G24" s="325">
        <v>110</v>
      </c>
      <c r="H24" s="327">
        <f>ROUND((T_Fabric[[#This Row],[RollWidth_Imperial]]*25.4)/1000,2)*1000</f>
        <v>2790</v>
      </c>
      <c r="I24" s="423" t="s">
        <v>121</v>
      </c>
      <c r="J24" s="27" t="str">
        <f>z_Fabric_RR_No</f>
        <v>Fabric cannot be railroaded.</v>
      </c>
      <c r="K24" s="1" t="s">
        <v>266</v>
      </c>
      <c r="L24" s="1">
        <f>IF(AND(i_Fabric&lt;&gt;"",i_Fabric=T_Fabric[[#This Row],[Description]]),1,0)</f>
        <v>0</v>
      </c>
      <c r="M24" s="1">
        <f>IF(i_Region="Global",1,IF(OR(i_Region=T_Fabric[[#This Row],[Region]],T_Fabric[[#This Row],[Region]]="Global"),1,0))</f>
        <v>0</v>
      </c>
      <c r="N24"/>
      <c r="O24" t="str">
        <v>Kew</v>
      </c>
      <c r="P24" s="214" t="str">
        <v>Riviera Light Filtering</v>
      </c>
      <c r="R24"/>
      <c r="S24"/>
    </row>
    <row r="25" spans="2:19">
      <c r="B25" s="296" t="s">
        <v>615</v>
      </c>
      <c r="C25" s="292">
        <v>0.5</v>
      </c>
      <c r="D25" s="293">
        <v>250</v>
      </c>
      <c r="E25" s="294">
        <f>T_Fabric[[#This Row],[Thickness_Metric]]/25.4</f>
        <v>1.968503937007874E-2</v>
      </c>
      <c r="F25" s="295">
        <f>T_Fabric[[#This Row],[Density_Metric]]/33.90574744</f>
        <v>7.3733811779965297</v>
      </c>
      <c r="G25" s="325">
        <v>94</v>
      </c>
      <c r="H25" s="327">
        <f>ROUND((T_Fabric[[#This Row],[RollWidth_Imperial]]*25.4)/1000,2)*1000</f>
        <v>2390</v>
      </c>
      <c r="I25" s="423" t="s">
        <v>122</v>
      </c>
      <c r="J25" s="27" t="str">
        <f>z_Fabric_RR_No</f>
        <v>Fabric cannot be railroaded.</v>
      </c>
      <c r="K25" s="1" t="s">
        <v>420</v>
      </c>
      <c r="L25" s="1">
        <f>IF(AND(i_Fabric&lt;&gt;"",i_Fabric=T_Fabric[[#This Row],[Description]]),1,0)</f>
        <v>0</v>
      </c>
      <c r="M25" s="1">
        <f>IF(i_Region="Global",1,IF(OR(i_Region=T_Fabric[[#This Row],[Region]],T_Fabric[[#This Row],[Region]]="Global"),1,0))</f>
        <v>1</v>
      </c>
      <c r="N25"/>
      <c r="O25" t="str">
        <v>Kleenscreen 5%</v>
      </c>
      <c r="P25" s="214" t="str">
        <v>Sanctuary</v>
      </c>
      <c r="R25"/>
      <c r="S25"/>
    </row>
    <row r="26" spans="2:19">
      <c r="B26" s="296" t="s">
        <v>616</v>
      </c>
      <c r="C26" s="292">
        <v>0.54</v>
      </c>
      <c r="D26" s="293">
        <v>400</v>
      </c>
      <c r="E26" s="294">
        <f>T_Fabric[[#This Row],[Thickness_Metric]]/25.4</f>
        <v>2.1259842519685043E-2</v>
      </c>
      <c r="F26" s="295">
        <f>T_Fabric[[#This Row],[Density_Metric]]/33.90574744</f>
        <v>11.797409884794448</v>
      </c>
      <c r="G26" s="325">
        <v>118</v>
      </c>
      <c r="H26" s="327">
        <f>ROUND((T_Fabric[[#This Row],[RollWidth_Imperial]]*25.4)/1000,2)*1000</f>
        <v>3000</v>
      </c>
      <c r="I26" s="423" t="s">
        <v>121</v>
      </c>
      <c r="J26" s="27" t="str">
        <f>z_Fabric_RR_Yes</f>
        <v>Fabric can be railroaded.</v>
      </c>
      <c r="K26" s="1" t="s">
        <v>266</v>
      </c>
      <c r="L26" s="1">
        <f>IF(AND(i_Fabric&lt;&gt;"",i_Fabric=T_Fabric[[#This Row],[Description]]),1,0)</f>
        <v>0</v>
      </c>
      <c r="M26" s="1">
        <f>IF(i_Region="Global",1,IF(OR(i_Region=T_Fabric[[#This Row],[Region]],T_Fabric[[#This Row],[Region]]="Global"),1,0))</f>
        <v>0</v>
      </c>
      <c r="N26"/>
      <c r="O26" t="str">
        <v>Kleenscreen Blackout</v>
      </c>
      <c r="P26" s="214" t="str">
        <v>Serengetti Blackout</v>
      </c>
      <c r="R26"/>
      <c r="S26"/>
    </row>
    <row r="27" spans="2:19">
      <c r="B27" s="296" t="s">
        <v>617</v>
      </c>
      <c r="C27" s="292">
        <v>0.48</v>
      </c>
      <c r="D27" s="293">
        <v>305</v>
      </c>
      <c r="E27" s="294">
        <f>T_Fabric[[#This Row],[Thickness_Metric]]/25.4</f>
        <v>1.889763779527559E-2</v>
      </c>
      <c r="F27" s="295">
        <f>T_Fabric[[#This Row],[Density_Metric]]/33.90574744</f>
        <v>8.9955250371557653</v>
      </c>
      <c r="G27" s="325">
        <v>118</v>
      </c>
      <c r="H27" s="327">
        <f>ROUND((T_Fabric[[#This Row],[RollWidth_Imperial]]*25.4)/1000,2)*1000</f>
        <v>3000</v>
      </c>
      <c r="I27" s="423" t="s">
        <v>121</v>
      </c>
      <c r="J27" s="27" t="str">
        <f>z_Fabric_RR_Yes</f>
        <v>Fabric can be railroaded.</v>
      </c>
      <c r="K27" s="1" t="s">
        <v>266</v>
      </c>
      <c r="L27" s="1">
        <f>IF(AND(i_Fabric&lt;&gt;"",i_Fabric=T_Fabric[[#This Row],[Description]]),1,0)</f>
        <v>0</v>
      </c>
      <c r="M27" s="1">
        <f>IF(i_Region="Global",1,IF(OR(i_Region=T_Fabric[[#This Row],[Region]],T_Fabric[[#This Row],[Region]]="Global"),1,0))</f>
        <v>0</v>
      </c>
      <c r="N27"/>
      <c r="O27" t="str">
        <v>Metroshade Blackout</v>
      </c>
      <c r="P27" s="214" t="str">
        <v>Serengetti Light Filtering</v>
      </c>
      <c r="R27"/>
      <c r="S27"/>
    </row>
    <row r="28" spans="2:19">
      <c r="B28" s="296" t="s">
        <v>618</v>
      </c>
      <c r="C28" s="292">
        <v>0.53</v>
      </c>
      <c r="D28" s="293">
        <v>318</v>
      </c>
      <c r="E28" s="294">
        <f>T_Fabric[[#This Row],[Thickness_Metric]]/25.4</f>
        <v>2.0866141732283468E-2</v>
      </c>
      <c r="F28" s="295">
        <f>T_Fabric[[#This Row],[Density_Metric]]/33.90574744</f>
        <v>9.3789408584115854</v>
      </c>
      <c r="G28" s="325">
        <v>118</v>
      </c>
      <c r="H28" s="327">
        <f>ROUND((T_Fabric[[#This Row],[RollWidth_Imperial]]*25.4)/1000,2)*1000</f>
        <v>3000</v>
      </c>
      <c r="I28" s="423" t="s">
        <v>121</v>
      </c>
      <c r="J28" s="27" t="str">
        <f>z_Fabric_RR_No</f>
        <v>Fabric cannot be railroaded.</v>
      </c>
      <c r="K28" s="1" t="s">
        <v>266</v>
      </c>
      <c r="L28" s="1">
        <f>IF(AND(i_Fabric&lt;&gt;"",i_Fabric=T_Fabric[[#This Row],[Description]]),1,0)</f>
        <v>0</v>
      </c>
      <c r="M28" s="1">
        <f>IF(i_Region="Global",1,IF(OR(i_Region=T_Fabric[[#This Row],[Region]],T_Fabric[[#This Row],[Region]]="Global"),1,0))</f>
        <v>0</v>
      </c>
      <c r="N28"/>
      <c r="O28" t="str">
        <v>Metroshade Light Filtering</v>
      </c>
      <c r="P28" s="214" t="str">
        <v>Solar View</v>
      </c>
      <c r="R28"/>
      <c r="S28"/>
    </row>
    <row r="29" spans="2:19">
      <c r="B29" s="296" t="s">
        <v>619</v>
      </c>
      <c r="C29" s="292">
        <v>0.4</v>
      </c>
      <c r="D29" s="293">
        <v>220</v>
      </c>
      <c r="E29" s="294">
        <f>T_Fabric[[#This Row],[Thickness_Metric]]/25.4</f>
        <v>1.5748031496062995E-2</v>
      </c>
      <c r="F29" s="295">
        <f>T_Fabric[[#This Row],[Density_Metric]]/33.90574744</f>
        <v>6.4885754366369461</v>
      </c>
      <c r="G29" s="325">
        <v>92.5</v>
      </c>
      <c r="H29" s="327">
        <f>ROUND((T_Fabric[[#This Row],[RollWidth_Imperial]]*25.4)/1000,2)*1000</f>
        <v>2350</v>
      </c>
      <c r="I29" s="423" t="s">
        <v>121</v>
      </c>
      <c r="J29" s="27" t="str">
        <f>z_Fabric_RR_Yes</f>
        <v>Fabric can be railroaded.</v>
      </c>
      <c r="K29" s="1" t="s">
        <v>266</v>
      </c>
      <c r="L29" s="1">
        <f>IF(AND(i_Fabric&lt;&gt;"",i_Fabric=T_Fabric[[#This Row],[Description]]),1,0)</f>
        <v>0</v>
      </c>
      <c r="M29" s="1">
        <f>IF(i_Region="Global",1,IF(OR(i_Region=T_Fabric[[#This Row],[Region]],T_Fabric[[#This Row],[Region]]="Global"),1,0))</f>
        <v>0</v>
      </c>
      <c r="N29"/>
      <c r="O29" t="str">
        <v>One Block</v>
      </c>
      <c r="P29" s="214" t="str">
        <v>Solitaire</v>
      </c>
      <c r="R29"/>
      <c r="S29"/>
    </row>
    <row r="30" spans="2:19">
      <c r="B30" s="296" t="s">
        <v>620</v>
      </c>
      <c r="C30" s="297">
        <v>0.48</v>
      </c>
      <c r="D30" s="298">
        <v>235</v>
      </c>
      <c r="E30" s="294">
        <f>T_Fabric[[#This Row],[Thickness_Metric]]/25.4</f>
        <v>1.889763779527559E-2</v>
      </c>
      <c r="F30" s="295">
        <f>T_Fabric[[#This Row],[Density_Metric]]/33.90574744</f>
        <v>6.9309783073167379</v>
      </c>
      <c r="G30" s="325">
        <v>118</v>
      </c>
      <c r="H30" s="327">
        <f>ROUND((T_Fabric[[#This Row],[RollWidth_Imperial]]*25.4)/1000,2)*1000</f>
        <v>3000</v>
      </c>
      <c r="I30" s="423" t="s">
        <v>122</v>
      </c>
      <c r="J30" s="27" t="str">
        <f>z_Fabric_RR_No</f>
        <v>Fabric cannot be railroaded.</v>
      </c>
      <c r="K30" s="1" t="s">
        <v>266</v>
      </c>
      <c r="L30" s="1">
        <f>IF(AND(i_Fabric&lt;&gt;"",i_Fabric=T_Fabric[[#This Row],[Description]]),1,0)</f>
        <v>0</v>
      </c>
      <c r="M30" s="1">
        <f>IF(i_Region="Global",1,IF(OR(i_Region=T_Fabric[[#This Row],[Region]],T_Fabric[[#This Row],[Region]]="Global"),1,0))</f>
        <v>0</v>
      </c>
      <c r="N30"/>
      <c r="O30" t="str">
        <v>One Screen</v>
      </c>
      <c r="P30" s="214" t="str">
        <v>Vivid Block</v>
      </c>
      <c r="R30"/>
      <c r="S30"/>
    </row>
    <row r="31" spans="2:19">
      <c r="B31" s="296" t="s">
        <v>621</v>
      </c>
      <c r="C31" s="297">
        <v>0.47</v>
      </c>
      <c r="D31" s="298">
        <v>410</v>
      </c>
      <c r="E31" s="294">
        <f>T_Fabric[[#This Row],[Thickness_Metric]]/25.4</f>
        <v>1.8503937007874015E-2</v>
      </c>
      <c r="F31" s="295">
        <f>T_Fabric[[#This Row],[Density_Metric]]/33.90574744</f>
        <v>12.092345131914309</v>
      </c>
      <c r="G31" s="325">
        <v>118</v>
      </c>
      <c r="H31" s="327">
        <f>ROUND((T_Fabric[[#This Row],[RollWidth_Imperial]]*25.4)/1000,2)*1000</f>
        <v>3000</v>
      </c>
      <c r="I31" s="423" t="s">
        <v>122</v>
      </c>
      <c r="J31" s="27" t="str">
        <f>z_Fabric_RR_No</f>
        <v>Fabric cannot be railroaded.</v>
      </c>
      <c r="K31" s="1" t="s">
        <v>266</v>
      </c>
      <c r="L31" s="1">
        <f>IF(AND(i_Fabric&lt;&gt;"",i_Fabric=T_Fabric[[#This Row],[Description]]),1,0)</f>
        <v>0</v>
      </c>
      <c r="M31" s="1">
        <f>IF(i_Region="Global",1,IF(OR(i_Region=T_Fabric[[#This Row],[Region]],T_Fabric[[#This Row],[Region]]="Global"),1,0))</f>
        <v>0</v>
      </c>
      <c r="N31"/>
      <c r="O31" t="str">
        <v>Positano</v>
      </c>
      <c r="P31" s="214" t="str">
        <v>Vivid Shade</v>
      </c>
      <c r="R31"/>
      <c r="S31"/>
    </row>
    <row r="32" spans="2:19">
      <c r="B32" s="296" t="s">
        <v>850</v>
      </c>
      <c r="C32" s="297">
        <v>0.47</v>
      </c>
      <c r="D32" s="298">
        <v>410</v>
      </c>
      <c r="E32" s="294">
        <f>T_Fabric[[#This Row],[Thickness_Metric]]/25.4</f>
        <v>1.8503937007874015E-2</v>
      </c>
      <c r="F32" s="295">
        <f>T_Fabric[[#This Row],[Density_Metric]]/33.90574744</f>
        <v>12.092345131914309</v>
      </c>
      <c r="G32" s="325">
        <v>118</v>
      </c>
      <c r="H32" s="327">
        <f>ROUND((T_Fabric[[#This Row],[RollWidth_Imperial]]*25.4)/1000,2)*1000</f>
        <v>3000</v>
      </c>
      <c r="I32" s="423" t="s">
        <v>122</v>
      </c>
      <c r="J32" s="27" t="str">
        <f>z_Fabric_RR_No</f>
        <v>Fabric cannot be railroaded.</v>
      </c>
      <c r="K32" s="1" t="s">
        <v>266</v>
      </c>
      <c r="L32" s="1">
        <f>IF(AND(i_Fabric&lt;&gt;"",i_Fabric=T_Fabric[[#This Row],[Description]]),1,0)</f>
        <v>0</v>
      </c>
      <c r="M32" s="1">
        <f>IF(i_Region="Global",1,IF(OR(i_Region=T_Fabric[[#This Row],[Region]],T_Fabric[[#This Row],[Region]]="Global"),1,0))</f>
        <v>0</v>
      </c>
      <c r="N32"/>
      <c r="O32" t="str">
        <v>Riviera Blockout</v>
      </c>
      <c r="P32" s="214"/>
      <c r="R32"/>
      <c r="S32"/>
    </row>
    <row r="33" spans="2:19">
      <c r="B33" s="296" t="s">
        <v>622</v>
      </c>
      <c r="C33" s="292">
        <v>0.4</v>
      </c>
      <c r="D33" s="293">
        <v>400</v>
      </c>
      <c r="E33" s="294">
        <f>T_Fabric[[#This Row],[Thickness_Metric]]/25.4</f>
        <v>1.5748031496062995E-2</v>
      </c>
      <c r="F33" s="295">
        <f>T_Fabric[[#This Row],[Density_Metric]]/33.90574744</f>
        <v>11.797409884794448</v>
      </c>
      <c r="G33" s="325">
        <v>118</v>
      </c>
      <c r="H33" s="327">
        <f>ROUND((T_Fabric[[#This Row],[RollWidth_Imperial]]*25.4)/1000,2)*1000</f>
        <v>3000</v>
      </c>
      <c r="I33" s="423" t="s">
        <v>122</v>
      </c>
      <c r="J33" s="27" t="str">
        <f>z_Fabric_RR_Yes</f>
        <v>Fabric can be railroaded.</v>
      </c>
      <c r="K33" s="1" t="s">
        <v>266</v>
      </c>
      <c r="L33" s="1">
        <f>IF(AND(i_Fabric&lt;&gt;"",i_Fabric=T_Fabric[[#This Row],[Description]]),1,0)</f>
        <v>0</v>
      </c>
      <c r="M33" s="1">
        <f>IF(i_Region="Global",1,IF(OR(i_Region=T_Fabric[[#This Row],[Region]],T_Fabric[[#This Row],[Region]]="Global"),1,0))</f>
        <v>0</v>
      </c>
      <c r="N33"/>
      <c r="O33" t="str">
        <v>Riviera Light Filtering</v>
      </c>
      <c r="P33" s="214"/>
      <c r="R33"/>
      <c r="S33"/>
    </row>
    <row r="34" spans="2:19">
      <c r="B34" s="296" t="s">
        <v>623</v>
      </c>
      <c r="C34" s="292">
        <v>0.4</v>
      </c>
      <c r="D34" s="293">
        <v>180</v>
      </c>
      <c r="E34" s="294">
        <f>T_Fabric[[#This Row],[Thickness_Metric]]/25.4</f>
        <v>1.5748031496062995E-2</v>
      </c>
      <c r="F34" s="295">
        <f>T_Fabric[[#This Row],[Density_Metric]]/33.90574744</f>
        <v>5.3088344481575014</v>
      </c>
      <c r="G34" s="325">
        <v>92.5</v>
      </c>
      <c r="H34" s="327">
        <f>ROUND((T_Fabric[[#This Row],[RollWidth_Imperial]]*25.4)/1000,2)*1000</f>
        <v>2350</v>
      </c>
      <c r="I34" s="423" t="s">
        <v>121</v>
      </c>
      <c r="J34" s="27" t="str">
        <f>z_Fabric_RR_No</f>
        <v>Fabric cannot be railroaded.</v>
      </c>
      <c r="K34" s="1" t="s">
        <v>266</v>
      </c>
      <c r="L34" s="1">
        <f>IF(AND(i_Fabric&lt;&gt;"",i_Fabric=T_Fabric[[#This Row],[Description]]),1,0)</f>
        <v>0</v>
      </c>
      <c r="M34" s="1">
        <f>IF(i_Region="Global",1,IF(OR(i_Region=T_Fabric[[#This Row],[Region]],T_Fabric[[#This Row],[Region]]="Global"),1,0))</f>
        <v>0</v>
      </c>
      <c r="N34"/>
      <c r="O34" t="str">
        <v>Sanctuary</v>
      </c>
      <c r="P34" s="214"/>
      <c r="R34"/>
      <c r="S34"/>
    </row>
    <row r="35" spans="2:19">
      <c r="B35" s="296" t="s">
        <v>624</v>
      </c>
      <c r="C35" s="292">
        <v>0.4</v>
      </c>
      <c r="D35" s="293">
        <v>170</v>
      </c>
      <c r="E35" s="294">
        <f>T_Fabric[[#This Row],[Thickness_Metric]]/25.4</f>
        <v>1.5748031496062995E-2</v>
      </c>
      <c r="F35" s="295">
        <f>T_Fabric[[#This Row],[Density_Metric]]/33.90574744</f>
        <v>5.0138992010376402</v>
      </c>
      <c r="G35" s="325">
        <v>92.5</v>
      </c>
      <c r="H35" s="327">
        <f>ROUND((T_Fabric[[#This Row],[RollWidth_Imperial]]*25.4)/1000,2)*1000</f>
        <v>2350</v>
      </c>
      <c r="I35" s="423" t="s">
        <v>121</v>
      </c>
      <c r="J35" s="27" t="str">
        <f>z_Fabric_RR_No</f>
        <v>Fabric cannot be railroaded.</v>
      </c>
      <c r="K35" s="1" t="s">
        <v>266</v>
      </c>
      <c r="L35" s="1">
        <f>IF(AND(i_Fabric&lt;&gt;"",i_Fabric=T_Fabric[[#This Row],[Description]]),1,0)</f>
        <v>0</v>
      </c>
      <c r="M35" s="1">
        <f>IF(i_Region="Global",1,IF(OR(i_Region=T_Fabric[[#This Row],[Region]],T_Fabric[[#This Row],[Region]]="Global"),1,0))</f>
        <v>0</v>
      </c>
      <c r="N35"/>
      <c r="O35" t="str">
        <v>Serengetti Blackout</v>
      </c>
      <c r="P35" s="214"/>
      <c r="R35"/>
      <c r="S35"/>
    </row>
    <row r="36" spans="2:19">
      <c r="B36" s="296" t="s">
        <v>625</v>
      </c>
      <c r="C36" s="292">
        <v>0.5</v>
      </c>
      <c r="D36" s="293">
        <v>350</v>
      </c>
      <c r="E36" s="294">
        <f>T_Fabric[[#This Row],[Thickness_Metric]]/25.4</f>
        <v>1.968503937007874E-2</v>
      </c>
      <c r="F36" s="295">
        <f>T_Fabric[[#This Row],[Density_Metric]]/33.90574744</f>
        <v>10.322733649195142</v>
      </c>
      <c r="G36" s="325">
        <v>92.5</v>
      </c>
      <c r="H36" s="327">
        <f>ROUND((T_Fabric[[#This Row],[RollWidth_Imperial]]*25.4)/1000,2)*1000</f>
        <v>2350</v>
      </c>
      <c r="I36" s="423" t="s">
        <v>121</v>
      </c>
      <c r="J36" s="27" t="str">
        <f>z_Fabric_RR_No</f>
        <v>Fabric cannot be railroaded.</v>
      </c>
      <c r="K36" s="1" t="s">
        <v>266</v>
      </c>
      <c r="L36" s="1">
        <f>IF(AND(i_Fabric&lt;&gt;"",i_Fabric=T_Fabric[[#This Row],[Description]]),1,0)</f>
        <v>0</v>
      </c>
      <c r="M36" s="1">
        <f>IF(i_Region="Global",1,IF(OR(i_Region=T_Fabric[[#This Row],[Region]],T_Fabric[[#This Row],[Region]]="Global"),1,0))</f>
        <v>0</v>
      </c>
      <c r="N36"/>
      <c r="O36" t="str">
        <v>Serengetti Light Filtering</v>
      </c>
      <c r="P36" s="214"/>
      <c r="R36"/>
      <c r="S36"/>
    </row>
    <row r="37" spans="2:19">
      <c r="B37" s="296" t="s">
        <v>626</v>
      </c>
      <c r="C37" s="292">
        <v>0.4</v>
      </c>
      <c r="D37" s="293">
        <v>280</v>
      </c>
      <c r="E37" s="294">
        <f>T_Fabric[[#This Row],[Thickness_Metric]]/25.4</f>
        <v>1.5748031496062995E-2</v>
      </c>
      <c r="F37" s="295">
        <f>T_Fabric[[#This Row],[Density_Metric]]/33.90574744</f>
        <v>8.2581869193561133</v>
      </c>
      <c r="G37" s="325">
        <v>92.5</v>
      </c>
      <c r="H37" s="327">
        <f>ROUND((T_Fabric[[#This Row],[RollWidth_Imperial]]*25.4)/1000,2)*1000</f>
        <v>2350</v>
      </c>
      <c r="I37" s="423" t="s">
        <v>121</v>
      </c>
      <c r="J37" s="27" t="str">
        <f>z_Fabric_RR_Yes</f>
        <v>Fabric can be railroaded.</v>
      </c>
      <c r="K37" s="1" t="s">
        <v>266</v>
      </c>
      <c r="L37" s="1">
        <f>IF(AND(i_Fabric&lt;&gt;"",i_Fabric=T_Fabric[[#This Row],[Description]]),1,0)</f>
        <v>0</v>
      </c>
      <c r="M37" s="1">
        <f>IF(i_Region="Global",1,IF(OR(i_Region=T_Fabric[[#This Row],[Region]],T_Fabric[[#This Row],[Region]]="Global"),1,0))</f>
        <v>0</v>
      </c>
      <c r="N37"/>
      <c r="O37" t="str">
        <v>Solar View</v>
      </c>
      <c r="P37" s="214"/>
      <c r="R37"/>
      <c r="S37"/>
    </row>
    <row r="38" spans="2:19">
      <c r="B38" s="296" t="s">
        <v>627</v>
      </c>
      <c r="C38" s="292">
        <v>0.4</v>
      </c>
      <c r="D38" s="293">
        <v>180</v>
      </c>
      <c r="E38" s="294">
        <f>T_Fabric[[#This Row],[Thickness_Metric]]/25.4</f>
        <v>1.5748031496062995E-2</v>
      </c>
      <c r="F38" s="295">
        <f>T_Fabric[[#This Row],[Density_Metric]]/33.90574744</f>
        <v>5.3088344481575014</v>
      </c>
      <c r="G38" s="325">
        <v>78.7</v>
      </c>
      <c r="H38" s="327">
        <f>ROUND((T_Fabric[[#This Row],[RollWidth_Imperial]]*25.4)/1000,2)*1000</f>
        <v>2000</v>
      </c>
      <c r="I38" s="423" t="s">
        <v>121</v>
      </c>
      <c r="J38" s="27" t="str">
        <f>z_Fabric_RR_Yes</f>
        <v>Fabric can be railroaded.</v>
      </c>
      <c r="K38" s="1" t="s">
        <v>266</v>
      </c>
      <c r="L38" s="1">
        <f>IF(AND(i_Fabric&lt;&gt;"",i_Fabric=T_Fabric[[#This Row],[Description]]),1,0)</f>
        <v>0</v>
      </c>
      <c r="M38" s="1">
        <f>IF(i_Region="Global",1,IF(OR(i_Region=T_Fabric[[#This Row],[Region]],T_Fabric[[#This Row],[Region]]="Global"),1,0))</f>
        <v>0</v>
      </c>
      <c r="N38"/>
      <c r="O38" t="str">
        <v>Solitaire</v>
      </c>
      <c r="P38" s="214"/>
      <c r="R38"/>
      <c r="S38"/>
    </row>
    <row r="39" spans="2:19">
      <c r="B39" s="296" t="s">
        <v>628</v>
      </c>
      <c r="C39" s="292">
        <v>0.4</v>
      </c>
      <c r="D39" s="293">
        <v>180</v>
      </c>
      <c r="E39" s="294">
        <f>T_Fabric[[#This Row],[Thickness_Metric]]/25.4</f>
        <v>1.5748031496062995E-2</v>
      </c>
      <c r="F39" s="295">
        <f>T_Fabric[[#This Row],[Density_Metric]]/33.90574744</f>
        <v>5.3088344481575014</v>
      </c>
      <c r="G39" s="325">
        <v>78.7</v>
      </c>
      <c r="H39" s="327">
        <f>ROUND((T_Fabric[[#This Row],[RollWidth_Imperial]]*25.4)/1000,2)*1000</f>
        <v>2000</v>
      </c>
      <c r="I39" s="423" t="s">
        <v>121</v>
      </c>
      <c r="J39" s="27" t="str">
        <f>z_Fabric_RR_No</f>
        <v>Fabric cannot be railroaded.</v>
      </c>
      <c r="K39" s="1" t="s">
        <v>266</v>
      </c>
      <c r="L39" s="1">
        <f>IF(AND(i_Fabric&lt;&gt;"",i_Fabric=T_Fabric[[#This Row],[Description]]),1,0)</f>
        <v>0</v>
      </c>
      <c r="M39" s="1">
        <f>IF(i_Region="Global",1,IF(OR(i_Region=T_Fabric[[#This Row],[Region]],T_Fabric[[#This Row],[Region]]="Global"),1,0))</f>
        <v>0</v>
      </c>
      <c r="N39"/>
      <c r="O39" t="str">
        <v>Vivid Block</v>
      </c>
      <c r="P39" s="214"/>
      <c r="R39"/>
      <c r="S39"/>
    </row>
    <row r="40" spans="2:19">
      <c r="B40" s="296" t="s">
        <v>629</v>
      </c>
      <c r="C40" s="297">
        <v>0.65</v>
      </c>
      <c r="D40" s="298">
        <v>150</v>
      </c>
      <c r="E40" s="294">
        <f>T_Fabric[[#This Row],[Thickness_Metric]]/25.4</f>
        <v>2.5590551181102365E-2</v>
      </c>
      <c r="F40" s="295">
        <f>T_Fabric[[#This Row],[Density_Metric]]/33.90574744</f>
        <v>4.4240287067979178</v>
      </c>
      <c r="G40" s="325">
        <v>78.7</v>
      </c>
      <c r="H40" s="327">
        <f>ROUND((T_Fabric[[#This Row],[RollWidth_Imperial]]*25.4)/1000,2)*1000</f>
        <v>2000</v>
      </c>
      <c r="I40" s="423" t="s">
        <v>121</v>
      </c>
      <c r="J40" s="27" t="str">
        <f>z_Fabric_RR_No</f>
        <v>Fabric cannot be railroaded.</v>
      </c>
      <c r="K40" s="1" t="s">
        <v>266</v>
      </c>
      <c r="L40" s="1">
        <f>IF(AND(i_Fabric&lt;&gt;"",i_Fabric=T_Fabric[[#This Row],[Description]]),1,0)</f>
        <v>0</v>
      </c>
      <c r="M40" s="1">
        <f>IF(i_Region="Global",1,IF(OR(i_Region=T_Fabric[[#This Row],[Region]],T_Fabric[[#This Row],[Region]]="Global"),1,0))</f>
        <v>0</v>
      </c>
      <c r="N40"/>
      <c r="O40" t="str">
        <v>Vivid Shade</v>
      </c>
      <c r="P40" s="214"/>
      <c r="R40"/>
      <c r="S40"/>
    </row>
    <row r="41" spans="2:19">
      <c r="B41" s="296" t="s">
        <v>630</v>
      </c>
      <c r="C41" s="292">
        <v>0.6</v>
      </c>
      <c r="D41" s="293">
        <v>310</v>
      </c>
      <c r="E41" s="294">
        <f>T_Fabric[[#This Row],[Thickness_Metric]]/25.4</f>
        <v>2.3622047244094488E-2</v>
      </c>
      <c r="F41" s="295">
        <f>T_Fabric[[#This Row],[Density_Metric]]/33.90574744</f>
        <v>9.1429926607156968</v>
      </c>
      <c r="G41" s="325">
        <v>78.7</v>
      </c>
      <c r="H41" s="327">
        <f>ROUND((T_Fabric[[#This Row],[RollWidth_Imperial]]*25.4)/1000,2)*1000</f>
        <v>2000</v>
      </c>
      <c r="I41" s="423" t="s">
        <v>121</v>
      </c>
      <c r="J41" s="27" t="str">
        <f>z_Fabric_RR_Yes</f>
        <v>Fabric can be railroaded.</v>
      </c>
      <c r="K41" s="1" t="s">
        <v>266</v>
      </c>
      <c r="L41" s="1">
        <f>IF(AND(i_Fabric&lt;&gt;"",i_Fabric=T_Fabric[[#This Row],[Description]]),1,0)</f>
        <v>0</v>
      </c>
      <c r="M41" s="1">
        <f>IF(i_Region="Global",1,IF(OR(i_Region=T_Fabric[[#This Row],[Region]],T_Fabric[[#This Row],[Region]]="Global"),1,0))</f>
        <v>0</v>
      </c>
      <c r="N41"/>
      <c r="O41"/>
      <c r="P41" s="214"/>
      <c r="R41"/>
      <c r="S41"/>
    </row>
    <row r="42" spans="2:19">
      <c r="B42" s="296" t="s">
        <v>631</v>
      </c>
      <c r="C42" s="292">
        <v>0.65</v>
      </c>
      <c r="D42" s="293">
        <v>430</v>
      </c>
      <c r="E42" s="294">
        <f>T_Fabric[[#This Row],[Thickness_Metric]]/25.4</f>
        <v>2.5590551181102365E-2</v>
      </c>
      <c r="F42" s="295">
        <f>T_Fabric[[#This Row],[Density_Metric]]/33.90574744</f>
        <v>12.682215626154031</v>
      </c>
      <c r="G42" s="325">
        <v>78.7</v>
      </c>
      <c r="H42" s="327">
        <f>ROUND((T_Fabric[[#This Row],[RollWidth_Imperial]]*25.4)/1000,2)*1000</f>
        <v>2000</v>
      </c>
      <c r="I42" s="423" t="s">
        <v>121</v>
      </c>
      <c r="J42" s="27" t="str">
        <f>z_Fabric_RR_No</f>
        <v>Fabric cannot be railroaded.</v>
      </c>
      <c r="K42" s="1" t="s">
        <v>266</v>
      </c>
      <c r="L42" s="1">
        <f>IF(AND(i_Fabric&lt;&gt;"",i_Fabric=T_Fabric[[#This Row],[Description]]),1,0)</f>
        <v>0</v>
      </c>
      <c r="M42" s="1">
        <f>IF(i_Region="Global",1,IF(OR(i_Region=T_Fabric[[#This Row],[Region]],T_Fabric[[#This Row],[Region]]="Global"),1,0))</f>
        <v>0</v>
      </c>
      <c r="N42"/>
      <c r="O42"/>
      <c r="P42" s="214"/>
      <c r="R42"/>
      <c r="S42"/>
    </row>
    <row r="43" spans="2:19">
      <c r="B43" s="296" t="s">
        <v>632</v>
      </c>
      <c r="C43" s="292">
        <v>0.5</v>
      </c>
      <c r="D43" s="293">
        <v>270</v>
      </c>
      <c r="E43" s="294">
        <f>T_Fabric[[#This Row],[Thickness_Metric]]/25.4</f>
        <v>1.968503937007874E-2</v>
      </c>
      <c r="F43" s="295">
        <f>T_Fabric[[#This Row],[Density_Metric]]/33.90574744</f>
        <v>7.9632516722362521</v>
      </c>
      <c r="G43" s="325">
        <v>78.7</v>
      </c>
      <c r="H43" s="327">
        <f>ROUND((T_Fabric[[#This Row],[RollWidth_Imperial]]*25.4)/1000,2)*1000</f>
        <v>2000</v>
      </c>
      <c r="I43" s="423" t="s">
        <v>121</v>
      </c>
      <c r="J43" s="27" t="str">
        <f>z_Fabric_RR_Yes</f>
        <v>Fabric can be railroaded.</v>
      </c>
      <c r="K43" s="1" t="s">
        <v>266</v>
      </c>
      <c r="L43" s="1">
        <f>IF(AND(i_Fabric&lt;&gt;"",i_Fabric=T_Fabric[[#This Row],[Description]]),1,0)</f>
        <v>0</v>
      </c>
      <c r="M43" s="1">
        <f>IF(i_Region="Global",1,IF(OR(i_Region=T_Fabric[[#This Row],[Region]],T_Fabric[[#This Row],[Region]]="Global"),1,0))</f>
        <v>0</v>
      </c>
      <c r="N43"/>
      <c r="O43"/>
      <c r="P43" s="214"/>
      <c r="R43"/>
      <c r="S43"/>
    </row>
    <row r="44" spans="2:19">
      <c r="B44" s="296" t="s">
        <v>633</v>
      </c>
      <c r="C44" s="292">
        <v>0.5</v>
      </c>
      <c r="D44" s="293">
        <v>270</v>
      </c>
      <c r="E44" s="294">
        <f>T_Fabric[[#This Row],[Thickness_Metric]]/25.4</f>
        <v>1.968503937007874E-2</v>
      </c>
      <c r="F44" s="295">
        <f>T_Fabric[[#This Row],[Density_Metric]]/33.90574744</f>
        <v>7.9632516722362521</v>
      </c>
      <c r="G44" s="325">
        <v>78.7</v>
      </c>
      <c r="H44" s="327">
        <f>ROUND((T_Fabric[[#This Row],[RollWidth_Imperial]]*25.4)/1000,2)*1000</f>
        <v>2000</v>
      </c>
      <c r="I44" s="423" t="s">
        <v>121</v>
      </c>
      <c r="J44" s="27" t="str">
        <f>z_Fabric_RR_Yes</f>
        <v>Fabric can be railroaded.</v>
      </c>
      <c r="K44" s="1" t="s">
        <v>266</v>
      </c>
      <c r="L44" s="1">
        <f>IF(AND(i_Fabric&lt;&gt;"",i_Fabric=T_Fabric[[#This Row],[Description]]),1,0)</f>
        <v>0</v>
      </c>
      <c r="M44" s="1">
        <f>IF(i_Region="Global",1,IF(OR(i_Region=T_Fabric[[#This Row],[Region]],T_Fabric[[#This Row],[Region]]="Global"),1,0))</f>
        <v>0</v>
      </c>
      <c r="N44"/>
      <c r="O44"/>
      <c r="P44" s="214"/>
      <c r="R44"/>
      <c r="S44"/>
    </row>
    <row r="45" spans="2:19">
      <c r="B45" s="296" t="s">
        <v>634</v>
      </c>
      <c r="C45" s="297">
        <v>0.45</v>
      </c>
      <c r="D45" s="298">
        <v>225</v>
      </c>
      <c r="E45" s="294">
        <f>T_Fabric[[#This Row],[Thickness_Metric]]/25.4</f>
        <v>1.7716535433070866E-2</v>
      </c>
      <c r="F45" s="295">
        <f>T_Fabric[[#This Row],[Density_Metric]]/33.90574744</f>
        <v>6.6360430601968767</v>
      </c>
      <c r="G45" s="325">
        <v>78.7</v>
      </c>
      <c r="H45" s="327">
        <f>ROUND((T_Fabric[[#This Row],[RollWidth_Imperial]]*25.4)/1000,2)*1000</f>
        <v>2000</v>
      </c>
      <c r="I45" s="423" t="s">
        <v>121</v>
      </c>
      <c r="J45" s="27" t="str">
        <f>z_Fabric_RR_No</f>
        <v>Fabric cannot be railroaded.</v>
      </c>
      <c r="K45" s="1" t="s">
        <v>266</v>
      </c>
      <c r="L45" s="1">
        <f>IF(AND(i_Fabric&lt;&gt;"",i_Fabric=T_Fabric[[#This Row],[Description]]),1,0)</f>
        <v>0</v>
      </c>
      <c r="M45" s="1">
        <f>IF(i_Region="Global",1,IF(OR(i_Region=T_Fabric[[#This Row],[Region]],T_Fabric[[#This Row],[Region]]="Global"),1,0))</f>
        <v>0</v>
      </c>
      <c r="N45"/>
      <c r="O45"/>
      <c r="P45" s="214"/>
      <c r="R45"/>
      <c r="S45"/>
    </row>
    <row r="46" spans="2:19">
      <c r="B46" s="296" t="s">
        <v>635</v>
      </c>
      <c r="C46" s="292">
        <v>0.6</v>
      </c>
      <c r="D46" s="293">
        <v>400</v>
      </c>
      <c r="E46" s="294">
        <f>T_Fabric[[#This Row],[Thickness_Metric]]/25.4</f>
        <v>2.3622047244094488E-2</v>
      </c>
      <c r="F46" s="295">
        <f>T_Fabric[[#This Row],[Density_Metric]]/33.90574744</f>
        <v>11.797409884794448</v>
      </c>
      <c r="G46" s="325">
        <v>78.7</v>
      </c>
      <c r="H46" s="327">
        <f>ROUND((T_Fabric[[#This Row],[RollWidth_Imperial]]*25.4)/1000,2)*1000</f>
        <v>2000</v>
      </c>
      <c r="I46" s="423" t="s">
        <v>121</v>
      </c>
      <c r="J46" s="27" t="str">
        <f>z_Fabric_RR_Yes</f>
        <v>Fabric can be railroaded.</v>
      </c>
      <c r="K46" s="1" t="s">
        <v>266</v>
      </c>
      <c r="L46" s="1">
        <f>IF(AND(i_Fabric&lt;&gt;"",i_Fabric=T_Fabric[[#This Row],[Description]]),1,0)</f>
        <v>0</v>
      </c>
      <c r="M46" s="1">
        <f>IF(i_Region="Global",1,IF(OR(i_Region=T_Fabric[[#This Row],[Region]],T_Fabric[[#This Row],[Region]]="Global"),1,0))</f>
        <v>0</v>
      </c>
      <c r="N46"/>
      <c r="O46"/>
      <c r="P46" s="214"/>
      <c r="R46"/>
      <c r="S46"/>
    </row>
    <row r="47" spans="2:19">
      <c r="B47" s="296" t="s">
        <v>636</v>
      </c>
      <c r="C47" s="292">
        <v>0.45</v>
      </c>
      <c r="D47" s="293">
        <v>210</v>
      </c>
      <c r="E47" s="294">
        <f>T_Fabric[[#This Row],[Thickness_Metric]]/25.4</f>
        <v>1.7716535433070866E-2</v>
      </c>
      <c r="F47" s="295">
        <f>T_Fabric[[#This Row],[Density_Metric]]/33.90574744</f>
        <v>6.1936401895170849</v>
      </c>
      <c r="G47" s="325">
        <v>78.7</v>
      </c>
      <c r="H47" s="327">
        <f>ROUND((T_Fabric[[#This Row],[RollWidth_Imperial]]*25.4)/1000,2)*1000</f>
        <v>2000</v>
      </c>
      <c r="I47" s="423" t="s">
        <v>121</v>
      </c>
      <c r="J47" s="27" t="str">
        <f>z_Fabric_RR_No</f>
        <v>Fabric cannot be railroaded.</v>
      </c>
      <c r="K47" s="1" t="s">
        <v>266</v>
      </c>
      <c r="L47" s="1">
        <f>IF(AND(i_Fabric&lt;&gt;"",i_Fabric=T_Fabric[[#This Row],[Description]]),1,0)</f>
        <v>0</v>
      </c>
      <c r="M47" s="1">
        <f>IF(i_Region="Global",1,IF(OR(i_Region=T_Fabric[[#This Row],[Region]],T_Fabric[[#This Row],[Region]]="Global"),1,0))</f>
        <v>0</v>
      </c>
      <c r="N47"/>
      <c r="O47"/>
      <c r="P47" s="214"/>
      <c r="R47"/>
      <c r="S47"/>
    </row>
    <row r="48" spans="2:19">
      <c r="B48" s="296" t="s">
        <v>637</v>
      </c>
      <c r="C48" s="292">
        <v>0.75</v>
      </c>
      <c r="D48" s="293">
        <v>370</v>
      </c>
      <c r="E48" s="294">
        <f>T_Fabric[[#This Row],[Thickness_Metric]]/25.4</f>
        <v>2.9527559055118113E-2</v>
      </c>
      <c r="F48" s="295">
        <f>T_Fabric[[#This Row],[Density_Metric]]/33.90574744</f>
        <v>10.912604143434864</v>
      </c>
      <c r="G48" s="325">
        <v>80.7</v>
      </c>
      <c r="H48" s="327">
        <f>ROUND((T_Fabric[[#This Row],[RollWidth_Imperial]]*25.4)/1000,2)*1000</f>
        <v>2050</v>
      </c>
      <c r="I48" s="423" t="s">
        <v>121</v>
      </c>
      <c r="J48" s="27" t="str">
        <f>z_Fabric_RR_Yes</f>
        <v>Fabric can be railroaded.</v>
      </c>
      <c r="K48" s="1" t="s">
        <v>266</v>
      </c>
      <c r="L48" s="1">
        <f>IF(AND(i_Fabric&lt;&gt;"",i_Fabric=T_Fabric[[#This Row],[Description]]),1,0)</f>
        <v>0</v>
      </c>
      <c r="M48" s="1">
        <f>IF(i_Region="Global",1,IF(OR(i_Region=T_Fabric[[#This Row],[Region]],T_Fabric[[#This Row],[Region]]="Global"),1,0))</f>
        <v>0</v>
      </c>
      <c r="N48"/>
      <c r="O48"/>
      <c r="P48" s="214"/>
      <c r="R48"/>
      <c r="S48"/>
    </row>
    <row r="49" spans="1:19">
      <c r="B49" s="296" t="s">
        <v>638</v>
      </c>
      <c r="C49" s="292">
        <v>0.9</v>
      </c>
      <c r="D49" s="293">
        <v>500</v>
      </c>
      <c r="E49" s="294">
        <f>T_Fabric[[#This Row],[Thickness_Metric]]/25.4</f>
        <v>3.5433070866141732E-2</v>
      </c>
      <c r="F49" s="295">
        <f>T_Fabric[[#This Row],[Density_Metric]]/33.90574744</f>
        <v>14.746762355993059</v>
      </c>
      <c r="G49" s="325">
        <v>80.7</v>
      </c>
      <c r="H49" s="327">
        <f>ROUND((T_Fabric[[#This Row],[RollWidth_Imperial]]*25.4)/1000,2)*1000</f>
        <v>2050</v>
      </c>
      <c r="I49" s="423" t="s">
        <v>121</v>
      </c>
      <c r="J49" s="27" t="str">
        <f>z_Fabric_RR_Yes</f>
        <v>Fabric can be railroaded.</v>
      </c>
      <c r="K49" s="1" t="s">
        <v>266</v>
      </c>
      <c r="L49" s="1">
        <f>IF(AND(i_Fabric&lt;&gt;"",i_Fabric=T_Fabric[[#This Row],[Description]]),1,0)</f>
        <v>0</v>
      </c>
      <c r="M49" s="1">
        <f>IF(i_Region="Global",1,IF(OR(i_Region=T_Fabric[[#This Row],[Region]],T_Fabric[[#This Row],[Region]]="Global"),1,0))</f>
        <v>0</v>
      </c>
      <c r="N49"/>
      <c r="O49"/>
      <c r="P49" s="214"/>
      <c r="R49"/>
      <c r="S49"/>
    </row>
    <row r="50" spans="1:19">
      <c r="B50" s="296" t="s">
        <v>639</v>
      </c>
      <c r="C50" s="292">
        <v>0.53</v>
      </c>
      <c r="D50" s="293">
        <v>378</v>
      </c>
      <c r="E50" s="294">
        <f>T_Fabric[[#This Row],[Thickness_Metric]]/25.4</f>
        <v>2.0866141732283468E-2</v>
      </c>
      <c r="F50" s="295">
        <f>T_Fabric[[#This Row],[Density_Metric]]/33.90574744</f>
        <v>11.148552341130753</v>
      </c>
      <c r="G50" s="325">
        <v>110</v>
      </c>
      <c r="H50" s="327">
        <f>ROUND((T_Fabric[[#This Row],[RollWidth_Imperial]]*25.4)/1000,2)*1000</f>
        <v>2790</v>
      </c>
      <c r="I50" s="423" t="s">
        <v>122</v>
      </c>
      <c r="J50" s="27" t="str">
        <f>z_Fabric_RR_Yes</f>
        <v>Fabric can be railroaded.</v>
      </c>
      <c r="K50" s="1" t="s">
        <v>266</v>
      </c>
      <c r="L50" s="1">
        <f>IF(AND(i_Fabric&lt;&gt;"",i_Fabric=T_Fabric[[#This Row],[Description]]),1,0)</f>
        <v>0</v>
      </c>
      <c r="M50" s="1">
        <f>IF(i_Region="Global",1,IF(OR(i_Region=T_Fabric[[#This Row],[Region]],T_Fabric[[#This Row],[Region]]="Global"),1,0))</f>
        <v>0</v>
      </c>
      <c r="N50"/>
      <c r="O50"/>
      <c r="P50" s="214"/>
      <c r="R50"/>
      <c r="S50"/>
    </row>
    <row r="51" spans="1:19">
      <c r="B51" s="296" t="s">
        <v>640</v>
      </c>
      <c r="C51" s="292">
        <v>0.3</v>
      </c>
      <c r="D51" s="293">
        <v>130</v>
      </c>
      <c r="E51" s="294">
        <f>T_Fabric[[#This Row],[Thickness_Metric]]/25.4</f>
        <v>1.1811023622047244E-2</v>
      </c>
      <c r="F51" s="295">
        <f>T_Fabric[[#This Row],[Density_Metric]]/33.90574744</f>
        <v>3.8341582125581954</v>
      </c>
      <c r="G51" s="325">
        <v>78.7</v>
      </c>
      <c r="H51" s="327">
        <f>ROUND((T_Fabric[[#This Row],[RollWidth_Imperial]]*25.4)/1000,2)*1000</f>
        <v>2000</v>
      </c>
      <c r="I51" s="423" t="s">
        <v>121</v>
      </c>
      <c r="J51" s="27" t="str">
        <f>z_Fabric_RR_Yes</f>
        <v>Fabric can be railroaded.</v>
      </c>
      <c r="K51" s="1" t="s">
        <v>266</v>
      </c>
      <c r="L51" s="1">
        <f>IF(AND(i_Fabric&lt;&gt;"",i_Fabric=T_Fabric[[#This Row],[Description]]),1,0)</f>
        <v>0</v>
      </c>
      <c r="M51" s="1">
        <f>IF(i_Region="Global",1,IF(OR(i_Region=T_Fabric[[#This Row],[Region]],T_Fabric[[#This Row],[Region]]="Global"),1,0))</f>
        <v>0</v>
      </c>
      <c r="N51"/>
      <c r="O51"/>
      <c r="P51" s="214"/>
      <c r="R51"/>
      <c r="S51"/>
    </row>
    <row r="52" spans="1:19">
      <c r="B52" s="296" t="s">
        <v>641</v>
      </c>
      <c r="C52" s="292">
        <v>0.55000000000000004</v>
      </c>
      <c r="D52" s="293">
        <v>190</v>
      </c>
      <c r="E52" s="294">
        <f>T_Fabric[[#This Row],[Thickness_Metric]]/25.4</f>
        <v>2.1653543307086617E-2</v>
      </c>
      <c r="F52" s="295">
        <f>T_Fabric[[#This Row],[Density_Metric]]/33.90574744</f>
        <v>5.6037696952773626</v>
      </c>
      <c r="G52" s="325">
        <v>78.7</v>
      </c>
      <c r="H52" s="327">
        <f>ROUND((T_Fabric[[#This Row],[RollWidth_Imperial]]*25.4)/1000,2)*1000</f>
        <v>2000</v>
      </c>
      <c r="I52" s="423" t="s">
        <v>121</v>
      </c>
      <c r="J52" s="27" t="str">
        <f>z_Fabric_RR_No</f>
        <v>Fabric cannot be railroaded.</v>
      </c>
      <c r="K52" s="1" t="s">
        <v>266</v>
      </c>
      <c r="L52" s="1">
        <f>IF(AND(i_Fabric&lt;&gt;"",i_Fabric=T_Fabric[[#This Row],[Description]]),1,0)</f>
        <v>0</v>
      </c>
      <c r="M52" s="1">
        <f>IF(i_Region="Global",1,IF(OR(i_Region=T_Fabric[[#This Row],[Region]],T_Fabric[[#This Row],[Region]]="Global"),1,0))</f>
        <v>0</v>
      </c>
      <c r="N52"/>
      <c r="O52"/>
      <c r="P52" s="214"/>
      <c r="R52"/>
      <c r="S52"/>
    </row>
    <row r="53" spans="1:19">
      <c r="B53" s="296" t="s">
        <v>642</v>
      </c>
      <c r="C53" s="292">
        <v>0.3</v>
      </c>
      <c r="D53" s="293">
        <v>140</v>
      </c>
      <c r="E53" s="294">
        <f>T_Fabric[[#This Row],[Thickness_Metric]]/25.4</f>
        <v>1.1811023622047244E-2</v>
      </c>
      <c r="F53" s="295">
        <f>T_Fabric[[#This Row],[Density_Metric]]/33.90574744</f>
        <v>4.1290934596780566</v>
      </c>
      <c r="G53" s="325">
        <v>78.7</v>
      </c>
      <c r="H53" s="327">
        <f>ROUND((T_Fabric[[#This Row],[RollWidth_Imperial]]*25.4)/1000,2)*1000</f>
        <v>2000</v>
      </c>
      <c r="I53" s="423" t="s">
        <v>121</v>
      </c>
      <c r="J53" s="27" t="str">
        <f>z_Fabric_RR_Yes</f>
        <v>Fabric can be railroaded.</v>
      </c>
      <c r="K53" s="1" t="s">
        <v>266</v>
      </c>
      <c r="L53" s="1">
        <f>IF(AND(i_Fabric&lt;&gt;"",i_Fabric=T_Fabric[[#This Row],[Description]]),1,0)</f>
        <v>0</v>
      </c>
      <c r="M53" s="1">
        <f>IF(i_Region="Global",1,IF(OR(i_Region=T_Fabric[[#This Row],[Region]],T_Fabric[[#This Row],[Region]]="Global"),1,0))</f>
        <v>0</v>
      </c>
      <c r="N53"/>
      <c r="O53"/>
      <c r="P53" s="214"/>
      <c r="R53"/>
      <c r="S53"/>
    </row>
    <row r="54" spans="1:19">
      <c r="B54" s="296" t="s">
        <v>643</v>
      </c>
      <c r="C54" s="292">
        <v>0.3</v>
      </c>
      <c r="D54" s="293">
        <v>160</v>
      </c>
      <c r="E54" s="294">
        <f>T_Fabric[[#This Row],[Thickness_Metric]]/25.4</f>
        <v>1.1811023622047244E-2</v>
      </c>
      <c r="F54" s="295">
        <f>T_Fabric[[#This Row],[Density_Metric]]/33.90574744</f>
        <v>4.718963953917779</v>
      </c>
      <c r="G54" s="325">
        <v>78.7</v>
      </c>
      <c r="H54" s="327">
        <f>ROUND((T_Fabric[[#This Row],[RollWidth_Imperial]]*25.4)/1000,2)*1000</f>
        <v>2000</v>
      </c>
      <c r="I54" s="423" t="s">
        <v>121</v>
      </c>
      <c r="J54" s="27" t="str">
        <f>z_Fabric_RR_Yes</f>
        <v>Fabric can be railroaded.</v>
      </c>
      <c r="K54" s="1" t="s">
        <v>266</v>
      </c>
      <c r="L54" s="1">
        <f>IF(AND(i_Fabric&lt;&gt;"",i_Fabric=T_Fabric[[#This Row],[Description]]),1,0)</f>
        <v>0</v>
      </c>
      <c r="M54" s="1">
        <f>IF(i_Region="Global",1,IF(OR(i_Region=T_Fabric[[#This Row],[Region]],T_Fabric[[#This Row],[Region]]="Global"),1,0))</f>
        <v>0</v>
      </c>
      <c r="N54"/>
      <c r="O54"/>
      <c r="P54" s="214"/>
      <c r="R54"/>
      <c r="S54"/>
    </row>
    <row r="55" spans="1:19">
      <c r="B55" s="296" t="s">
        <v>644</v>
      </c>
      <c r="C55" s="292">
        <v>0.35</v>
      </c>
      <c r="D55" s="293">
        <v>125</v>
      </c>
      <c r="E55" s="294">
        <f>T_Fabric[[#This Row],[Thickness_Metric]]/25.4</f>
        <v>1.3779527559055118E-2</v>
      </c>
      <c r="F55" s="295">
        <f>T_Fabric[[#This Row],[Density_Metric]]/33.90574744</f>
        <v>3.6866905889982649</v>
      </c>
      <c r="G55" s="325">
        <v>114</v>
      </c>
      <c r="H55" s="327">
        <f>ROUND((T_Fabric[[#This Row],[RollWidth_Imperial]]*25.4)/1000,2)*1000</f>
        <v>2900</v>
      </c>
      <c r="I55" s="423" t="s">
        <v>122</v>
      </c>
      <c r="J55" s="27" t="str">
        <f>z_Fabric_RR_Yes</f>
        <v>Fabric can be railroaded.</v>
      </c>
      <c r="K55" s="1" t="s">
        <v>266</v>
      </c>
      <c r="L55" s="1">
        <f>IF(AND(i_Fabric&lt;&gt;"",i_Fabric=T_Fabric[[#This Row],[Description]]),1,0)</f>
        <v>0</v>
      </c>
      <c r="M55" s="1">
        <f>IF(i_Region="Global",1,IF(OR(i_Region=T_Fabric[[#This Row],[Region]],T_Fabric[[#This Row],[Region]]="Global"),1,0))</f>
        <v>0</v>
      </c>
      <c r="N55"/>
      <c r="O55"/>
      <c r="P55" s="214"/>
      <c r="R55"/>
      <c r="S55"/>
    </row>
    <row r="56" spans="1:19">
      <c r="B56" s="296" t="s">
        <v>645</v>
      </c>
      <c r="C56" s="292">
        <v>0.4</v>
      </c>
      <c r="D56" s="293">
        <v>191</v>
      </c>
      <c r="E56" s="294">
        <f>T_Fabric[[#This Row],[Thickness_Metric]]/25.4</f>
        <v>1.5748031496062995E-2</v>
      </c>
      <c r="F56" s="295">
        <f>T_Fabric[[#This Row],[Density_Metric]]/33.90574744</f>
        <v>5.633263219989348</v>
      </c>
      <c r="G56" s="325">
        <v>114</v>
      </c>
      <c r="H56" s="327">
        <f>ROUND((T_Fabric[[#This Row],[RollWidth_Imperial]]*25.4)/1000,2)*1000</f>
        <v>2900</v>
      </c>
      <c r="I56" s="423" t="s">
        <v>122</v>
      </c>
      <c r="J56" s="27" t="str">
        <f>z_Fabric_RR_No</f>
        <v>Fabric cannot be railroaded.</v>
      </c>
      <c r="K56" s="1" t="s">
        <v>266</v>
      </c>
      <c r="L56" s="1">
        <f>IF(AND(i_Fabric&lt;&gt;"",i_Fabric=T_Fabric[[#This Row],[Description]]),1,0)</f>
        <v>0</v>
      </c>
      <c r="M56" s="1">
        <f>IF(i_Region="Global",1,IF(OR(i_Region=T_Fabric[[#This Row],[Region]],T_Fabric[[#This Row],[Region]]="Global"),1,0))</f>
        <v>0</v>
      </c>
      <c r="N56"/>
      <c r="O56"/>
      <c r="P56" s="214"/>
      <c r="R56"/>
      <c r="S56"/>
    </row>
    <row r="57" spans="1:19">
      <c r="B57" s="296" t="s">
        <v>646</v>
      </c>
      <c r="C57" s="292">
        <v>0.6</v>
      </c>
      <c r="D57" s="293">
        <v>395</v>
      </c>
      <c r="E57" s="294">
        <f>T_Fabric[[#This Row],[Thickness_Metric]]/25.4</f>
        <v>2.3622047244094488E-2</v>
      </c>
      <c r="F57" s="295">
        <f>T_Fabric[[#This Row],[Density_Metric]]/33.90574744</f>
        <v>11.649942261234516</v>
      </c>
      <c r="G57" s="325">
        <v>114</v>
      </c>
      <c r="H57" s="327">
        <f>ROUND((T_Fabric[[#This Row],[RollWidth_Imperial]]*25.4)/1000,2)*1000</f>
        <v>2900</v>
      </c>
      <c r="I57" s="423" t="s">
        <v>122</v>
      </c>
      <c r="J57" s="27" t="str">
        <f>z_Fabric_RR_Yes</f>
        <v>Fabric can be railroaded.</v>
      </c>
      <c r="K57" s="1" t="s">
        <v>266</v>
      </c>
      <c r="L57" s="1">
        <f>IF(AND(i_Fabric&lt;&gt;"",i_Fabric=T_Fabric[[#This Row],[Description]]),1,0)</f>
        <v>0</v>
      </c>
      <c r="M57" s="1">
        <f>IF(i_Region="Global",1,IF(OR(i_Region=T_Fabric[[#This Row],[Region]],T_Fabric[[#This Row],[Region]]="Global"),1,0))</f>
        <v>0</v>
      </c>
      <c r="N57"/>
      <c r="O57"/>
      <c r="P57" s="214"/>
      <c r="R57"/>
      <c r="S57"/>
    </row>
    <row r="58" spans="1:19">
      <c r="B58" s="296" t="s">
        <v>647</v>
      </c>
      <c r="C58" s="292">
        <v>0.55000000000000004</v>
      </c>
      <c r="D58" s="293">
        <v>220</v>
      </c>
      <c r="E58" s="294">
        <f>T_Fabric[[#This Row],[Thickness_Metric]]/25.4</f>
        <v>2.1653543307086617E-2</v>
      </c>
      <c r="F58" s="295">
        <f>T_Fabric[[#This Row],[Density_Metric]]/33.90574744</f>
        <v>6.4885754366369461</v>
      </c>
      <c r="G58" s="325">
        <v>118</v>
      </c>
      <c r="H58" s="327">
        <f>ROUND((T_Fabric[[#This Row],[RollWidth_Imperial]]*25.4)/1000,2)*1000</f>
        <v>3000</v>
      </c>
      <c r="I58" s="423" t="s">
        <v>122</v>
      </c>
      <c r="J58" s="27" t="str">
        <f>z_Fabric_RR_Yes</f>
        <v>Fabric can be railroaded.</v>
      </c>
      <c r="K58" s="1" t="s">
        <v>420</v>
      </c>
      <c r="L58" s="1">
        <f>IF(AND(i_Fabric&lt;&gt;"",i_Fabric=T_Fabric[[#This Row],[Description]]),1,0)</f>
        <v>0</v>
      </c>
      <c r="M58" s="1">
        <f>IF(i_Region="Global",1,IF(OR(i_Region=T_Fabric[[#This Row],[Region]],T_Fabric[[#This Row],[Region]]="Global"),1,0))</f>
        <v>1</v>
      </c>
      <c r="N58"/>
      <c r="O58"/>
      <c r="P58" s="214"/>
      <c r="R58"/>
      <c r="S58"/>
    </row>
    <row r="59" spans="1:19">
      <c r="B59" s="296" t="s">
        <v>648</v>
      </c>
      <c r="C59" s="292">
        <v>0.6</v>
      </c>
      <c r="D59" s="293">
        <v>390</v>
      </c>
      <c r="E59" s="294">
        <f>T_Fabric[[#This Row],[Thickness_Metric]]/25.4</f>
        <v>2.3622047244094488E-2</v>
      </c>
      <c r="F59" s="295">
        <f>T_Fabric[[#This Row],[Density_Metric]]/33.90574744</f>
        <v>11.502474637674586</v>
      </c>
      <c r="G59" s="325">
        <v>118</v>
      </c>
      <c r="H59" s="327">
        <f>ROUND((T_Fabric[[#This Row],[RollWidth_Imperial]]*25.4)/1000,2)*1000</f>
        <v>3000</v>
      </c>
      <c r="I59" s="423" t="s">
        <v>122</v>
      </c>
      <c r="J59" s="27" t="str">
        <f>z_Fabric_RR_No</f>
        <v>Fabric cannot be railroaded.</v>
      </c>
      <c r="K59" s="1" t="s">
        <v>420</v>
      </c>
      <c r="L59" s="1">
        <f>IF(AND(i_Fabric&lt;&gt;"",i_Fabric=T_Fabric[[#This Row],[Description]]),1,0)</f>
        <v>0</v>
      </c>
      <c r="M59" s="1">
        <f>IF(i_Region="Global",1,IF(OR(i_Region=T_Fabric[[#This Row],[Region]],T_Fabric[[#This Row],[Region]]="Global"),1,0))</f>
        <v>1</v>
      </c>
      <c r="N59"/>
      <c r="O59"/>
      <c r="P59" s="214"/>
      <c r="R59"/>
      <c r="S59"/>
    </row>
    <row r="60" spans="1:19">
      <c r="B60" s="296" t="s">
        <v>649</v>
      </c>
      <c r="C60" s="292">
        <v>0.63</v>
      </c>
      <c r="D60" s="293">
        <v>260</v>
      </c>
      <c r="E60" s="294">
        <f>T_Fabric[[#This Row],[Thickness_Metric]]/25.4</f>
        <v>2.4803149606299216E-2</v>
      </c>
      <c r="F60" s="295">
        <f>T_Fabric[[#This Row],[Density_Metric]]/33.90574744</f>
        <v>7.6683164251163909</v>
      </c>
      <c r="G60" s="325">
        <v>118</v>
      </c>
      <c r="H60" s="327">
        <f>ROUND((T_Fabric[[#This Row],[RollWidth_Imperial]]*25.4)/1000,2)*1000</f>
        <v>3000</v>
      </c>
      <c r="I60" s="423" t="s">
        <v>122</v>
      </c>
      <c r="J60" s="27" t="str">
        <f>z_Fabric_RR_No</f>
        <v>Fabric cannot be railroaded.</v>
      </c>
      <c r="K60" s="1" t="s">
        <v>420</v>
      </c>
      <c r="L60" s="1">
        <f>IF(AND(i_Fabric&lt;&gt;"",i_Fabric=T_Fabric[[#This Row],[Description]]),1,0)</f>
        <v>0</v>
      </c>
      <c r="M60" s="1">
        <f>IF(i_Region="Global",1,IF(OR(i_Region=T_Fabric[[#This Row],[Region]],T_Fabric[[#This Row],[Region]]="Global"),1,0))</f>
        <v>1</v>
      </c>
      <c r="N60"/>
      <c r="O60"/>
      <c r="P60" s="214"/>
      <c r="R60"/>
      <c r="S60"/>
    </row>
    <row r="61" spans="1:19">
      <c r="A61" s="217"/>
      <c r="B61" s="290" t="s">
        <v>650</v>
      </c>
      <c r="C61" s="288">
        <v>0.72</v>
      </c>
      <c r="D61" s="289">
        <v>450</v>
      </c>
      <c r="E61" s="294">
        <f>T_Fabric[[#This Row],[Thickness_Metric]]/25.4</f>
        <v>2.8346456692913385E-2</v>
      </c>
      <c r="F61" s="295">
        <f>T_Fabric[[#This Row],[Density_Metric]]/33.90574744</f>
        <v>13.272086120393753</v>
      </c>
      <c r="G61" s="325">
        <v>118</v>
      </c>
      <c r="H61" s="327">
        <f>ROUND((T_Fabric[[#This Row],[RollWidth_Imperial]]*25.4)/1000,2)*1000</f>
        <v>3000</v>
      </c>
      <c r="I61" s="325" t="s">
        <v>122</v>
      </c>
      <c r="J61" s="27" t="str">
        <f>z_Fabric_RR_No</f>
        <v>Fabric cannot be railroaded.</v>
      </c>
      <c r="K61" s="1" t="s">
        <v>420</v>
      </c>
      <c r="L61" s="1">
        <f>IF(AND(i_Fabric&lt;&gt;"",i_Fabric=T_Fabric[[#This Row],[Description]]),1,0)</f>
        <v>0</v>
      </c>
      <c r="M61" s="1">
        <f>IF(i_Region="Global",1,IF(OR(i_Region=T_Fabric[[#This Row],[Region]],T_Fabric[[#This Row],[Region]]="Global"),1,0))</f>
        <v>1</v>
      </c>
      <c r="N61"/>
      <c r="O61"/>
      <c r="P61" s="214"/>
      <c r="R61"/>
      <c r="S61"/>
    </row>
    <row r="62" spans="1:19">
      <c r="A62" s="217"/>
      <c r="B62" s="290" t="s">
        <v>651</v>
      </c>
      <c r="C62" s="288">
        <v>0.6</v>
      </c>
      <c r="D62" s="289">
        <v>430</v>
      </c>
      <c r="E62" s="294">
        <f>T_Fabric[[#This Row],[Thickness_Metric]]/25.4</f>
        <v>2.3622047244094488E-2</v>
      </c>
      <c r="F62" s="295">
        <f>T_Fabric[[#This Row],[Density_Metric]]/33.90574744</f>
        <v>12.682215626154031</v>
      </c>
      <c r="G62" s="325">
        <v>118</v>
      </c>
      <c r="H62" s="327">
        <f>ROUND((T_Fabric[[#This Row],[RollWidth_Imperial]]*25.4)/1000,2)*1000</f>
        <v>3000</v>
      </c>
      <c r="I62" s="325" t="s">
        <v>122</v>
      </c>
      <c r="J62" s="27" t="str">
        <f>z_Fabric_RR_No</f>
        <v>Fabric cannot be railroaded.</v>
      </c>
      <c r="K62" s="1" t="s">
        <v>420</v>
      </c>
      <c r="L62" s="1">
        <f>IF(AND(i_Fabric&lt;&gt;"",i_Fabric=T_Fabric[[#This Row],[Description]]),1,0)</f>
        <v>0</v>
      </c>
      <c r="M62" s="1">
        <f>IF(i_Region="Global",1,IF(OR(i_Region=T_Fabric[[#This Row],[Region]],T_Fabric[[#This Row],[Region]]="Global"),1,0))</f>
        <v>1</v>
      </c>
      <c r="N62"/>
      <c r="O62"/>
      <c r="P62" s="214"/>
      <c r="R62"/>
      <c r="S62"/>
    </row>
    <row r="63" spans="1:19">
      <c r="A63" s="217"/>
      <c r="B63" s="290" t="s">
        <v>712</v>
      </c>
      <c r="C63" s="288">
        <v>0.82</v>
      </c>
      <c r="D63" s="289">
        <v>530</v>
      </c>
      <c r="E63" s="294">
        <f>T_Fabric[[#This Row],[Thickness_Metric]]/25.4</f>
        <v>3.2283464566929133E-2</v>
      </c>
      <c r="F63" s="295">
        <f>T_Fabric[[#This Row],[Density_Metric]]/33.90574744</f>
        <v>15.631568097352643</v>
      </c>
      <c r="G63" s="325">
        <v>126</v>
      </c>
      <c r="H63" s="327">
        <f>ROUND((T_Fabric[[#This Row],[RollWidth_Imperial]]*25.4)/1000,2)*1000</f>
        <v>3200</v>
      </c>
      <c r="I63" s="325" t="s">
        <v>121</v>
      </c>
      <c r="J63" s="27" t="str">
        <f>z_Fabric_RR_Yes</f>
        <v>Fabric can be railroaded.</v>
      </c>
      <c r="K63" s="1" t="s">
        <v>266</v>
      </c>
      <c r="L63" s="1">
        <f>IF(AND(i_Fabric&lt;&gt;"",i_Fabric=T_Fabric[[#This Row],[Description]]),1,0)</f>
        <v>0</v>
      </c>
      <c r="M63" s="1">
        <f>IF(i_Region="Global",1,IF(OR(i_Region=T_Fabric[[#This Row],[Region]],T_Fabric[[#This Row],[Region]]="Global"),1,0))</f>
        <v>0</v>
      </c>
      <c r="N63"/>
      <c r="O63"/>
      <c r="P63" s="214"/>
      <c r="R63"/>
      <c r="S63"/>
    </row>
    <row r="64" spans="1:19">
      <c r="A64" s="217"/>
      <c r="B64" s="290" t="s">
        <v>713</v>
      </c>
      <c r="C64" s="288">
        <v>0.68</v>
      </c>
      <c r="D64" s="289">
        <v>470</v>
      </c>
      <c r="E64" s="294">
        <f>T_Fabric[[#This Row],[Thickness_Metric]]/25.4</f>
        <v>2.677165354330709E-2</v>
      </c>
      <c r="F64" s="295">
        <f>T_Fabric[[#This Row],[Density_Metric]]/33.90574744</f>
        <v>13.861956614633476</v>
      </c>
      <c r="G64" s="325">
        <v>126</v>
      </c>
      <c r="H64" s="327">
        <f>ROUND((T_Fabric[[#This Row],[RollWidth_Imperial]]*25.4)/1000,2)*1000</f>
        <v>3200</v>
      </c>
      <c r="I64" s="325" t="s">
        <v>121</v>
      </c>
      <c r="J64" s="27" t="str">
        <f>z_Fabric_RR_Yes</f>
        <v>Fabric can be railroaded.</v>
      </c>
      <c r="K64" s="1" t="s">
        <v>266</v>
      </c>
      <c r="L64" s="1">
        <f>IF(AND(i_Fabric&lt;&gt;"",i_Fabric=T_Fabric[[#This Row],[Description]]),1,0)</f>
        <v>0</v>
      </c>
      <c r="M64" s="1">
        <f>IF(i_Region="Global",1,IF(OR(i_Region=T_Fabric[[#This Row],[Region]],T_Fabric[[#This Row],[Region]]="Global"),1,0))</f>
        <v>0</v>
      </c>
      <c r="N64"/>
      <c r="O64"/>
      <c r="P64" s="214"/>
      <c r="R64"/>
      <c r="S64"/>
    </row>
    <row r="65" spans="1:19">
      <c r="A65" s="217"/>
      <c r="B65" s="290" t="s">
        <v>721</v>
      </c>
      <c r="C65" s="288">
        <v>0.72</v>
      </c>
      <c r="D65" s="289">
        <v>413</v>
      </c>
      <c r="E65" s="294">
        <f>T_Fabric[[#This Row],[Thickness_Metric]]/25.4</f>
        <v>2.8346456692913385E-2</v>
      </c>
      <c r="F65" s="295">
        <f>T_Fabric[[#This Row],[Density_Metric]]/33.90574744</f>
        <v>12.180825706050266</v>
      </c>
      <c r="G65" s="325">
        <v>118</v>
      </c>
      <c r="H65" s="327">
        <f>ROUND((T_Fabric[[#This Row],[RollWidth_Imperial]]*25.4)/1000,2)*1000</f>
        <v>3000</v>
      </c>
      <c r="I65" s="325" t="s">
        <v>122</v>
      </c>
      <c r="J65" s="27" t="str">
        <f t="shared" ref="J65:J84" si="1">z_Fabric_RR_No</f>
        <v>Fabric cannot be railroaded.</v>
      </c>
      <c r="K65" s="1" t="s">
        <v>265</v>
      </c>
      <c r="L65" s="1">
        <f>IF(AND(i_Fabric&lt;&gt;"",i_Fabric=T_Fabric[[#This Row],[Description]]),1,0)</f>
        <v>0</v>
      </c>
      <c r="M65" s="1">
        <f>IF(i_Region="Global",1,IF(OR(i_Region=T_Fabric[[#This Row],[Region]],T_Fabric[[#This Row],[Region]]="Global"),1,0))</f>
        <v>1</v>
      </c>
      <c r="N65"/>
      <c r="O65"/>
      <c r="P65" s="214"/>
      <c r="R65"/>
      <c r="S65"/>
    </row>
    <row r="66" spans="1:19">
      <c r="A66" s="217"/>
      <c r="B66" s="290" t="s">
        <v>722</v>
      </c>
      <c r="C66" s="288">
        <v>0.4</v>
      </c>
      <c r="D66" s="289">
        <v>400</v>
      </c>
      <c r="E66" s="294">
        <f>T_Fabric[[#This Row],[Thickness_Metric]]/25.4</f>
        <v>1.5748031496062995E-2</v>
      </c>
      <c r="F66" s="295">
        <f>T_Fabric[[#This Row],[Density_Metric]]/33.90574744</f>
        <v>11.797409884794448</v>
      </c>
      <c r="G66" s="325">
        <v>118</v>
      </c>
      <c r="H66" s="327">
        <f>ROUND((T_Fabric[[#This Row],[RollWidth_Imperial]]*25.4)/1000,2)*1000</f>
        <v>3000</v>
      </c>
      <c r="I66" s="325" t="s">
        <v>122</v>
      </c>
      <c r="J66" s="27" t="str">
        <f t="shared" si="1"/>
        <v>Fabric cannot be railroaded.</v>
      </c>
      <c r="K66" s="1" t="s">
        <v>265</v>
      </c>
      <c r="L66" s="1">
        <f>IF(AND(i_Fabric&lt;&gt;"",i_Fabric=T_Fabric[[#This Row],[Description]]),1,0)</f>
        <v>0</v>
      </c>
      <c r="M66" s="1">
        <f>IF(i_Region="Global",1,IF(OR(i_Region=T_Fabric[[#This Row],[Region]],T_Fabric[[#This Row],[Region]]="Global"),1,0))</f>
        <v>1</v>
      </c>
      <c r="N66"/>
      <c r="O66"/>
      <c r="P66" s="214"/>
      <c r="R66"/>
      <c r="S66"/>
    </row>
    <row r="67" spans="1:19">
      <c r="A67" s="217"/>
      <c r="B67" s="290" t="s">
        <v>723</v>
      </c>
      <c r="C67" s="288">
        <v>0.69</v>
      </c>
      <c r="D67" s="289">
        <v>460</v>
      </c>
      <c r="E67" s="294">
        <f>T_Fabric[[#This Row],[Thickness_Metric]]/25.4</f>
        <v>2.7165354330708661E-2</v>
      </c>
      <c r="F67" s="295">
        <f>T_Fabric[[#This Row],[Density_Metric]]/33.90574744</f>
        <v>13.567021367513615</v>
      </c>
      <c r="G67" s="325">
        <v>118</v>
      </c>
      <c r="H67" s="327">
        <f>ROUND((T_Fabric[[#This Row],[RollWidth_Imperial]]*25.4)/1000,2)*1000</f>
        <v>3000</v>
      </c>
      <c r="I67" s="325" t="s">
        <v>122</v>
      </c>
      <c r="J67" s="27" t="str">
        <f t="shared" si="1"/>
        <v>Fabric cannot be railroaded.</v>
      </c>
      <c r="K67" s="1" t="s">
        <v>265</v>
      </c>
      <c r="L67" s="1">
        <f>IF(AND(i_Fabric&lt;&gt;"",i_Fabric=T_Fabric[[#This Row],[Description]]),1,0)</f>
        <v>0</v>
      </c>
      <c r="M67" s="1">
        <f>IF(i_Region="Global",1,IF(OR(i_Region=T_Fabric[[#This Row],[Region]],T_Fabric[[#This Row],[Region]]="Global"),1,0))</f>
        <v>1</v>
      </c>
      <c r="N67"/>
      <c r="O67"/>
      <c r="P67" s="214"/>
      <c r="R67"/>
      <c r="S67"/>
    </row>
    <row r="68" spans="1:19">
      <c r="A68" s="217"/>
      <c r="B68" s="290" t="s">
        <v>724</v>
      </c>
      <c r="C68" s="288">
        <v>0.53</v>
      </c>
      <c r="D68" s="289">
        <v>378</v>
      </c>
      <c r="E68" s="294">
        <f>T_Fabric[[#This Row],[Thickness_Metric]]/25.4</f>
        <v>2.0866141732283468E-2</v>
      </c>
      <c r="F68" s="295">
        <f>T_Fabric[[#This Row],[Density_Metric]]/33.90574744</f>
        <v>11.148552341130753</v>
      </c>
      <c r="G68" s="325">
        <v>110</v>
      </c>
      <c r="H68" s="327">
        <f>ROUND((T_Fabric[[#This Row],[RollWidth_Imperial]]*25.4)/1000,2)*1000</f>
        <v>2790</v>
      </c>
      <c r="I68" s="325" t="s">
        <v>122</v>
      </c>
      <c r="J68" s="27" t="str">
        <f t="shared" si="1"/>
        <v>Fabric cannot be railroaded.</v>
      </c>
      <c r="K68" s="1" t="s">
        <v>265</v>
      </c>
      <c r="L68" s="1">
        <f>IF(AND(i_Fabric&lt;&gt;"",i_Fabric=T_Fabric[[#This Row],[Description]]),1,0)</f>
        <v>0</v>
      </c>
      <c r="M68" s="1">
        <f>IF(i_Region="Global",1,IF(OR(i_Region=T_Fabric[[#This Row],[Region]],T_Fabric[[#This Row],[Region]]="Global"),1,0))</f>
        <v>1</v>
      </c>
      <c r="N68"/>
      <c r="O68"/>
      <c r="P68" s="214"/>
      <c r="R68"/>
      <c r="S68"/>
    </row>
    <row r="69" spans="1:19">
      <c r="A69" s="217"/>
      <c r="B69" s="290" t="s">
        <v>725</v>
      </c>
      <c r="C69" s="288">
        <v>0.47</v>
      </c>
      <c r="D69" s="289">
        <v>433</v>
      </c>
      <c r="E69" s="294">
        <f>T_Fabric[[#This Row],[Thickness_Metric]]/25.4</f>
        <v>1.8503937007874015E-2</v>
      </c>
      <c r="F69" s="295">
        <f>T_Fabric[[#This Row],[Density_Metric]]/33.90574744</f>
        <v>12.770696200289988</v>
      </c>
      <c r="G69" s="325">
        <v>118</v>
      </c>
      <c r="H69" s="327">
        <f>ROUND((T_Fabric[[#This Row],[RollWidth_Imperial]]*25.4)/1000,2)*1000</f>
        <v>3000</v>
      </c>
      <c r="I69" s="325" t="s">
        <v>122</v>
      </c>
      <c r="J69" s="27" t="str">
        <f t="shared" si="1"/>
        <v>Fabric cannot be railroaded.</v>
      </c>
      <c r="K69" s="1" t="s">
        <v>265</v>
      </c>
      <c r="L69" s="1">
        <f>IF(AND(i_Fabric&lt;&gt;"",i_Fabric=T_Fabric[[#This Row],[Description]]),1,0)</f>
        <v>0</v>
      </c>
      <c r="M69" s="1">
        <f>IF(i_Region="Global",1,IF(OR(i_Region=T_Fabric[[#This Row],[Region]],T_Fabric[[#This Row],[Region]]="Global"),1,0))</f>
        <v>1</v>
      </c>
      <c r="N69"/>
      <c r="O69"/>
      <c r="P69" s="214"/>
      <c r="R69"/>
      <c r="S69"/>
    </row>
    <row r="70" spans="1:19">
      <c r="A70" s="217"/>
      <c r="B70" s="290" t="s">
        <v>726</v>
      </c>
      <c r="C70" s="299">
        <v>0.55000000000000004</v>
      </c>
      <c r="D70" s="300">
        <v>400</v>
      </c>
      <c r="E70" s="294">
        <f>T_Fabric[[#This Row],[Thickness_Metric]]/25.4</f>
        <v>2.1653543307086617E-2</v>
      </c>
      <c r="F70" s="295">
        <f>T_Fabric[[#This Row],[Density_Metric]]/33.90574744</f>
        <v>11.797409884794448</v>
      </c>
      <c r="G70" s="455">
        <v>118</v>
      </c>
      <c r="H70" s="327">
        <f>ROUND((T_Fabric[[#This Row],[RollWidth_Imperial]]*25.4)/1000,2)*1000</f>
        <v>3000</v>
      </c>
      <c r="I70" s="325" t="s">
        <v>122</v>
      </c>
      <c r="J70" s="27" t="str">
        <f t="shared" si="1"/>
        <v>Fabric cannot be railroaded.</v>
      </c>
      <c r="K70" s="1" t="s">
        <v>265</v>
      </c>
      <c r="L70" s="1">
        <f>IF(AND(i_Fabric&lt;&gt;"",i_Fabric=T_Fabric[[#This Row],[Description]]),1,0)</f>
        <v>0</v>
      </c>
      <c r="M70" s="1">
        <f>IF(i_Region="Global",1,IF(OR(i_Region=T_Fabric[[#This Row],[Region]],T_Fabric[[#This Row],[Region]]="Global"),1,0))</f>
        <v>1</v>
      </c>
      <c r="N70"/>
      <c r="O70"/>
      <c r="P70" s="214"/>
      <c r="R70"/>
      <c r="S70"/>
    </row>
    <row r="71" spans="1:19">
      <c r="A71" s="217"/>
      <c r="B71" s="290" t="s">
        <v>727</v>
      </c>
      <c r="C71" s="299">
        <v>0.5</v>
      </c>
      <c r="D71" s="300">
        <v>260</v>
      </c>
      <c r="E71" s="294">
        <f>T_Fabric[[#This Row],[Thickness_Metric]]/25.4</f>
        <v>1.968503937007874E-2</v>
      </c>
      <c r="F71" s="295">
        <f>T_Fabric[[#This Row],[Density_Metric]]/33.90574744</f>
        <v>7.6683164251163909</v>
      </c>
      <c r="G71" s="455">
        <v>118</v>
      </c>
      <c r="H71" s="327">
        <f>ROUND((T_Fabric[[#This Row],[RollWidth_Imperial]]*25.4)/1000,2)*1000</f>
        <v>3000</v>
      </c>
      <c r="I71" s="325" t="s">
        <v>122</v>
      </c>
      <c r="J71" s="27" t="str">
        <f t="shared" si="1"/>
        <v>Fabric cannot be railroaded.</v>
      </c>
      <c r="K71" s="1" t="s">
        <v>265</v>
      </c>
      <c r="L71" s="1">
        <f>IF(AND(i_Fabric&lt;&gt;"",i_Fabric=T_Fabric[[#This Row],[Description]]),1,0)</f>
        <v>0</v>
      </c>
      <c r="M71" s="1">
        <f>IF(i_Region="Global",1,IF(OR(i_Region=T_Fabric[[#This Row],[Region]],T_Fabric[[#This Row],[Region]]="Global"),1,0))</f>
        <v>1</v>
      </c>
      <c r="N71"/>
      <c r="O71"/>
      <c r="P71" s="214"/>
      <c r="R71"/>
      <c r="S71"/>
    </row>
    <row r="72" spans="1:19">
      <c r="A72" s="217"/>
      <c r="B72" s="290" t="s">
        <v>728</v>
      </c>
      <c r="C72" s="299">
        <v>0.28999999999999998</v>
      </c>
      <c r="D72" s="300">
        <v>290</v>
      </c>
      <c r="E72" s="294">
        <f>T_Fabric[[#This Row],[Thickness_Metric]]/25.4</f>
        <v>1.1417322834645669E-2</v>
      </c>
      <c r="F72" s="295">
        <f>T_Fabric[[#This Row],[Density_Metric]]/33.90574744</f>
        <v>8.5531221664759745</v>
      </c>
      <c r="G72" s="455">
        <v>118</v>
      </c>
      <c r="H72" s="327">
        <f>ROUND((T_Fabric[[#This Row],[RollWidth_Imperial]]*25.4)/1000,2)*1000</f>
        <v>3000</v>
      </c>
      <c r="I72" s="325" t="s">
        <v>122</v>
      </c>
      <c r="J72" s="27" t="str">
        <f t="shared" si="1"/>
        <v>Fabric cannot be railroaded.</v>
      </c>
      <c r="K72" s="1" t="s">
        <v>265</v>
      </c>
      <c r="L72" s="1">
        <f>IF(AND(i_Fabric&lt;&gt;"",i_Fabric=T_Fabric[[#This Row],[Description]]),1,0)</f>
        <v>0</v>
      </c>
      <c r="M72" s="1">
        <f>IF(i_Region="Global",1,IF(OR(i_Region=T_Fabric[[#This Row],[Region]],T_Fabric[[#This Row],[Region]]="Global"),1,0))</f>
        <v>1</v>
      </c>
      <c r="N72"/>
      <c r="O72"/>
      <c r="P72" s="214"/>
      <c r="R72"/>
      <c r="S72"/>
    </row>
    <row r="73" spans="1:19">
      <c r="A73" s="217"/>
      <c r="B73" s="290" t="s">
        <v>729</v>
      </c>
      <c r="C73" s="299">
        <v>0.56999999999999995</v>
      </c>
      <c r="D73" s="300">
        <v>400</v>
      </c>
      <c r="E73" s="294">
        <f>T_Fabric[[#This Row],[Thickness_Metric]]/25.4</f>
        <v>2.2440944881889763E-2</v>
      </c>
      <c r="F73" s="295">
        <f>T_Fabric[[#This Row],[Density_Metric]]/33.90574744</f>
        <v>11.797409884794448</v>
      </c>
      <c r="G73" s="455">
        <v>118</v>
      </c>
      <c r="H73" s="327">
        <f>ROUND((T_Fabric[[#This Row],[RollWidth_Imperial]]*25.4)/1000,2)*1000</f>
        <v>3000</v>
      </c>
      <c r="I73" s="325" t="s">
        <v>122</v>
      </c>
      <c r="J73" s="27" t="str">
        <f t="shared" si="1"/>
        <v>Fabric cannot be railroaded.</v>
      </c>
      <c r="K73" s="1" t="s">
        <v>265</v>
      </c>
      <c r="L73" s="1">
        <f>IF(AND(i_Fabric&lt;&gt;"",i_Fabric=T_Fabric[[#This Row],[Description]]),1,0)</f>
        <v>0</v>
      </c>
      <c r="M73" s="1">
        <f>IF(i_Region="Global",1,IF(OR(i_Region=T_Fabric[[#This Row],[Region]],T_Fabric[[#This Row],[Region]]="Global"),1,0))</f>
        <v>1</v>
      </c>
      <c r="N73"/>
      <c r="O73"/>
      <c r="P73" s="214"/>
      <c r="R73"/>
      <c r="S73"/>
    </row>
    <row r="74" spans="1:19">
      <c r="A74" s="217"/>
      <c r="B74" s="290" t="s">
        <v>730</v>
      </c>
      <c r="C74" s="299">
        <v>0.64</v>
      </c>
      <c r="D74" s="300">
        <v>411</v>
      </c>
      <c r="E74" s="294">
        <f>T_Fabric[[#This Row],[Thickness_Metric]]/25.4</f>
        <v>2.5196850393700791E-2</v>
      </c>
      <c r="F74" s="295">
        <f>T_Fabric[[#This Row],[Density_Metric]]/33.90574744</f>
        <v>12.121838656626295</v>
      </c>
      <c r="G74" s="455">
        <v>118</v>
      </c>
      <c r="H74" s="327">
        <f>ROUND((T_Fabric[[#This Row],[RollWidth_Imperial]]*25.4)/1000,2)*1000</f>
        <v>3000</v>
      </c>
      <c r="I74" s="325" t="s">
        <v>122</v>
      </c>
      <c r="J74" s="27" t="str">
        <f t="shared" si="1"/>
        <v>Fabric cannot be railroaded.</v>
      </c>
      <c r="K74" s="1" t="s">
        <v>265</v>
      </c>
      <c r="L74" s="1">
        <f>IF(AND(i_Fabric&lt;&gt;"",i_Fabric=T_Fabric[[#This Row],[Description]]),1,0)</f>
        <v>0</v>
      </c>
      <c r="M74" s="1">
        <f>IF(i_Region="Global",1,IF(OR(i_Region=T_Fabric[[#This Row],[Region]],T_Fabric[[#This Row],[Region]]="Global"),1,0))</f>
        <v>1</v>
      </c>
      <c r="N74"/>
      <c r="O74"/>
      <c r="P74" s="214"/>
      <c r="R74"/>
      <c r="S74"/>
    </row>
    <row r="75" spans="1:19">
      <c r="A75" s="217"/>
      <c r="B75" s="290" t="s">
        <v>731</v>
      </c>
      <c r="C75" s="288">
        <v>0.7</v>
      </c>
      <c r="D75" s="289">
        <v>430</v>
      </c>
      <c r="E75" s="294">
        <f>T_Fabric[[#This Row],[Thickness_Metric]]/25.4</f>
        <v>2.7559055118110236E-2</v>
      </c>
      <c r="F75" s="295">
        <f>T_Fabric[[#This Row],[Density_Metric]]/33.90574744</f>
        <v>12.682215626154031</v>
      </c>
      <c r="G75" s="325">
        <v>118</v>
      </c>
      <c r="H75" s="327">
        <f>ROUND((T_Fabric[[#This Row],[RollWidth_Imperial]]*25.4)/1000,2)*1000</f>
        <v>3000</v>
      </c>
      <c r="I75" s="325" t="s">
        <v>122</v>
      </c>
      <c r="J75" s="27" t="str">
        <f t="shared" si="1"/>
        <v>Fabric cannot be railroaded.</v>
      </c>
      <c r="K75" s="1" t="s">
        <v>265</v>
      </c>
      <c r="L75" s="1">
        <f>IF(AND(i_Fabric&lt;&gt;"",i_Fabric=T_Fabric[[#This Row],[Description]]),1,0)</f>
        <v>0</v>
      </c>
      <c r="M75" s="1">
        <f>IF(i_Region="Global",1,IF(OR(i_Region=T_Fabric[[#This Row],[Region]],T_Fabric[[#This Row],[Region]]="Global"),1,0))</f>
        <v>1</v>
      </c>
      <c r="N75"/>
      <c r="O75"/>
      <c r="P75" s="214"/>
      <c r="R75"/>
      <c r="S75"/>
    </row>
    <row r="76" spans="1:19">
      <c r="A76" s="217"/>
      <c r="B76" s="290" t="s">
        <v>732</v>
      </c>
      <c r="C76" s="288">
        <v>0.6</v>
      </c>
      <c r="D76" s="289">
        <v>260</v>
      </c>
      <c r="E76" s="294">
        <f>T_Fabric[[#This Row],[Thickness_Metric]]/25.4</f>
        <v>2.3622047244094488E-2</v>
      </c>
      <c r="F76" s="295">
        <f>T_Fabric[[#This Row],[Density_Metric]]/33.90574744</f>
        <v>7.6683164251163909</v>
      </c>
      <c r="G76" s="325">
        <v>118</v>
      </c>
      <c r="H76" s="327">
        <f>ROUND((T_Fabric[[#This Row],[RollWidth_Imperial]]*25.4)/1000,2)*1000</f>
        <v>3000</v>
      </c>
      <c r="I76" s="325" t="s">
        <v>122</v>
      </c>
      <c r="J76" s="27" t="str">
        <f t="shared" si="1"/>
        <v>Fabric cannot be railroaded.</v>
      </c>
      <c r="K76" s="1" t="s">
        <v>265</v>
      </c>
      <c r="L76" s="1">
        <f>IF(AND(i_Fabric&lt;&gt;"",i_Fabric=T_Fabric[[#This Row],[Description]]),1,0)</f>
        <v>0</v>
      </c>
      <c r="M76" s="1">
        <f>IF(i_Region="Global",1,IF(OR(i_Region=T_Fabric[[#This Row],[Region]],T_Fabric[[#This Row],[Region]]="Global"),1,0))</f>
        <v>1</v>
      </c>
      <c r="N76"/>
      <c r="O76"/>
      <c r="P76" s="214"/>
      <c r="R76"/>
      <c r="S76"/>
    </row>
    <row r="77" spans="1:19">
      <c r="A77" s="217"/>
      <c r="B77" s="290" t="s">
        <v>733</v>
      </c>
      <c r="C77" s="288">
        <v>0.75</v>
      </c>
      <c r="D77" s="289">
        <v>530</v>
      </c>
      <c r="E77" s="294">
        <f>T_Fabric[[#This Row],[Thickness_Metric]]/25.4</f>
        <v>2.9527559055118113E-2</v>
      </c>
      <c r="F77" s="295">
        <f>T_Fabric[[#This Row],[Density_Metric]]/33.90574744</f>
        <v>15.631568097352643</v>
      </c>
      <c r="G77" s="325">
        <v>118</v>
      </c>
      <c r="H77" s="327">
        <f>ROUND((T_Fabric[[#This Row],[RollWidth_Imperial]]*25.4)/1000,2)*1000</f>
        <v>3000</v>
      </c>
      <c r="I77" s="325" t="s">
        <v>122</v>
      </c>
      <c r="J77" s="27" t="str">
        <f t="shared" si="1"/>
        <v>Fabric cannot be railroaded.</v>
      </c>
      <c r="K77" s="1" t="s">
        <v>265</v>
      </c>
      <c r="L77" s="1">
        <f>IF(AND(i_Fabric&lt;&gt;"",i_Fabric=T_Fabric[[#This Row],[Description]]),1,0)</f>
        <v>0</v>
      </c>
      <c r="M77" s="1">
        <f>IF(i_Region="Global",1,IF(OR(i_Region=T_Fabric[[#This Row],[Region]],T_Fabric[[#This Row],[Region]]="Global"),1,0))</f>
        <v>1</v>
      </c>
      <c r="N77"/>
      <c r="O77"/>
      <c r="P77" s="214"/>
      <c r="R77"/>
      <c r="S77"/>
    </row>
    <row r="78" spans="1:19">
      <c r="A78" s="217"/>
      <c r="B78" s="290" t="s">
        <v>734</v>
      </c>
      <c r="C78" s="288">
        <v>0.3</v>
      </c>
      <c r="D78" s="289">
        <v>280</v>
      </c>
      <c r="E78" s="294">
        <f>T_Fabric[[#This Row],[Thickness_Metric]]/25.4</f>
        <v>1.1811023622047244E-2</v>
      </c>
      <c r="F78" s="295">
        <f>T_Fabric[[#This Row],[Density_Metric]]/33.90574744</f>
        <v>8.2581869193561133</v>
      </c>
      <c r="G78" s="325">
        <v>118</v>
      </c>
      <c r="H78" s="327">
        <f>ROUND((T_Fabric[[#This Row],[RollWidth_Imperial]]*25.4)/1000,2)*1000</f>
        <v>3000</v>
      </c>
      <c r="I78" s="325" t="s">
        <v>122</v>
      </c>
      <c r="J78" s="27" t="str">
        <f t="shared" si="1"/>
        <v>Fabric cannot be railroaded.</v>
      </c>
      <c r="K78" s="1" t="s">
        <v>265</v>
      </c>
      <c r="L78" s="1">
        <f>IF(AND(i_Fabric&lt;&gt;"",i_Fabric=T_Fabric[[#This Row],[Description]]),1,0)</f>
        <v>0</v>
      </c>
      <c r="M78" s="1">
        <f>IF(i_Region="Global",1,IF(OR(i_Region=T_Fabric[[#This Row],[Region]],T_Fabric[[#This Row],[Region]]="Global"),1,0))</f>
        <v>1</v>
      </c>
      <c r="N78"/>
      <c r="O78"/>
      <c r="P78" s="214"/>
      <c r="R78"/>
      <c r="S78"/>
    </row>
    <row r="79" spans="1:19">
      <c r="A79" s="217"/>
      <c r="B79" s="290" t="s">
        <v>735</v>
      </c>
      <c r="C79" s="288">
        <v>0.35</v>
      </c>
      <c r="D79" s="289">
        <v>370</v>
      </c>
      <c r="E79" s="294">
        <f>T_Fabric[[#This Row],[Thickness_Metric]]/25.4</f>
        <v>1.3779527559055118E-2</v>
      </c>
      <c r="F79" s="295">
        <f>T_Fabric[[#This Row],[Density_Metric]]/33.90574744</f>
        <v>10.912604143434864</v>
      </c>
      <c r="G79" s="325">
        <v>118</v>
      </c>
      <c r="H79" s="327">
        <f>ROUND((T_Fabric[[#This Row],[RollWidth_Imperial]]*25.4)/1000,2)*1000</f>
        <v>3000</v>
      </c>
      <c r="I79" s="325" t="s">
        <v>122</v>
      </c>
      <c r="J79" s="27" t="str">
        <f t="shared" si="1"/>
        <v>Fabric cannot be railroaded.</v>
      </c>
      <c r="K79" s="1" t="s">
        <v>266</v>
      </c>
      <c r="L79" s="1">
        <f>IF(AND(i_Fabric&lt;&gt;"",i_Fabric=T_Fabric[[#This Row],[Description]]),1,0)</f>
        <v>0</v>
      </c>
      <c r="M79" s="1">
        <f>IF(i_Region="Global",1,IF(OR(i_Region=T_Fabric[[#This Row],[Region]],T_Fabric[[#This Row],[Region]]="Global"),1,0))</f>
        <v>0</v>
      </c>
      <c r="N79"/>
      <c r="O79"/>
      <c r="P79" s="214"/>
      <c r="R79"/>
      <c r="S79"/>
    </row>
    <row r="80" spans="1:19">
      <c r="A80" s="217"/>
      <c r="B80" s="290" t="s">
        <v>736</v>
      </c>
      <c r="C80" s="288">
        <v>0.3</v>
      </c>
      <c r="D80" s="289">
        <v>170</v>
      </c>
      <c r="E80" s="294">
        <f>T_Fabric[[#This Row],[Thickness_Metric]]/25.4</f>
        <v>1.1811023622047244E-2</v>
      </c>
      <c r="F80" s="295">
        <f>T_Fabric[[#This Row],[Density_Metric]]/33.90574744</f>
        <v>5.0138992010376402</v>
      </c>
      <c r="G80" s="325">
        <v>118</v>
      </c>
      <c r="H80" s="327">
        <f>ROUND((T_Fabric[[#This Row],[RollWidth_Imperial]]*25.4)/1000,2)*1000</f>
        <v>3000</v>
      </c>
      <c r="I80" s="325" t="s">
        <v>122</v>
      </c>
      <c r="J80" s="27" t="str">
        <f t="shared" si="1"/>
        <v>Fabric cannot be railroaded.</v>
      </c>
      <c r="K80" s="1" t="s">
        <v>266</v>
      </c>
      <c r="L80" s="1">
        <f>IF(AND(i_Fabric&lt;&gt;"",i_Fabric=T_Fabric[[#This Row],[Description]]),1,0)</f>
        <v>0</v>
      </c>
      <c r="M80" s="1">
        <f>IF(i_Region="Global",1,IF(OR(i_Region=T_Fabric[[#This Row],[Region]],T_Fabric[[#This Row],[Region]]="Global"),1,0))</f>
        <v>0</v>
      </c>
      <c r="N80"/>
      <c r="O80"/>
      <c r="P80" s="214"/>
      <c r="R80"/>
      <c r="S80"/>
    </row>
    <row r="81" spans="1:19">
      <c r="A81" s="217"/>
      <c r="B81" s="290" t="s">
        <v>737</v>
      </c>
      <c r="C81" s="288">
        <v>0.38</v>
      </c>
      <c r="D81" s="289">
        <v>350</v>
      </c>
      <c r="E81" s="294">
        <f>T_Fabric[[#This Row],[Thickness_Metric]]/25.4</f>
        <v>1.4960629921259844E-2</v>
      </c>
      <c r="F81" s="295">
        <f>T_Fabric[[#This Row],[Density_Metric]]/33.90574744</f>
        <v>10.322733649195142</v>
      </c>
      <c r="G81" s="325">
        <v>118</v>
      </c>
      <c r="H81" s="327">
        <f>ROUND((T_Fabric[[#This Row],[RollWidth_Imperial]]*25.4)/1000,2)*1000</f>
        <v>3000</v>
      </c>
      <c r="I81" s="325" t="s">
        <v>122</v>
      </c>
      <c r="J81" s="27" t="str">
        <f t="shared" si="1"/>
        <v>Fabric cannot be railroaded.</v>
      </c>
      <c r="K81" s="1" t="s">
        <v>265</v>
      </c>
      <c r="L81" s="1">
        <f>IF(AND(i_Fabric&lt;&gt;"",i_Fabric=T_Fabric[[#This Row],[Description]]),1,0)</f>
        <v>0</v>
      </c>
      <c r="M81" s="1">
        <f>IF(i_Region="Global",1,IF(OR(i_Region=T_Fabric[[#This Row],[Region]],T_Fabric[[#This Row],[Region]]="Global"),1,0))</f>
        <v>1</v>
      </c>
      <c r="N81"/>
      <c r="O81"/>
      <c r="P81" s="214"/>
      <c r="R81"/>
      <c r="S81"/>
    </row>
    <row r="82" spans="1:19">
      <c r="B82" s="296" t="s">
        <v>738</v>
      </c>
      <c r="C82" s="299">
        <v>0.63</v>
      </c>
      <c r="D82" s="300">
        <v>425</v>
      </c>
      <c r="E82" s="294">
        <f>T_Fabric[[#This Row],[Thickness_Metric]]/25.4</f>
        <v>2.4803149606299216E-2</v>
      </c>
      <c r="F82" s="295">
        <f>T_Fabric[[#This Row],[Density_Metric]]/33.90574744</f>
        <v>12.5347480025941</v>
      </c>
      <c r="G82" s="455">
        <v>118</v>
      </c>
      <c r="H82" s="327">
        <f>ROUND((T_Fabric[[#This Row],[RollWidth_Imperial]]*25.4)/1000,2)*1000</f>
        <v>3000</v>
      </c>
      <c r="I82" s="325" t="s">
        <v>122</v>
      </c>
      <c r="J82" s="27" t="str">
        <f t="shared" si="1"/>
        <v>Fabric cannot be railroaded.</v>
      </c>
      <c r="K82" s="1" t="s">
        <v>265</v>
      </c>
      <c r="L82" s="1">
        <f>IF(AND(i_Fabric&lt;&gt;"",i_Fabric=T_Fabric[[#This Row],[Description]]),1,0)</f>
        <v>0</v>
      </c>
      <c r="M82" s="1">
        <f>IF(i_Region="Global",1,IF(OR(i_Region=T_Fabric[[#This Row],[Region]],T_Fabric[[#This Row],[Region]]="Global"),1,0))</f>
        <v>1</v>
      </c>
    </row>
    <row r="83" spans="1:19">
      <c r="B83" s="296" t="s">
        <v>739</v>
      </c>
      <c r="C83" s="299">
        <v>0.65</v>
      </c>
      <c r="D83" s="300">
        <v>360</v>
      </c>
      <c r="E83" s="294">
        <f>T_Fabric[[#This Row],[Thickness_Metric]]/25.4</f>
        <v>2.5590551181102365E-2</v>
      </c>
      <c r="F83" s="295">
        <f>T_Fabric[[#This Row],[Density_Metric]]/33.90574744</f>
        <v>10.617668896315003</v>
      </c>
      <c r="G83" s="455">
        <v>118</v>
      </c>
      <c r="H83" s="327">
        <f>ROUND((T_Fabric[[#This Row],[RollWidth_Imperial]]*25.4)/1000,2)*1000</f>
        <v>3000</v>
      </c>
      <c r="I83" s="325" t="s">
        <v>122</v>
      </c>
      <c r="J83" s="27" t="str">
        <f t="shared" si="1"/>
        <v>Fabric cannot be railroaded.</v>
      </c>
      <c r="K83" s="1" t="s">
        <v>265</v>
      </c>
      <c r="L83" s="1">
        <f>IF(AND(i_Fabric&lt;&gt;"",i_Fabric=T_Fabric[[#This Row],[Description]]),1,0)</f>
        <v>0</v>
      </c>
      <c r="M83" s="1">
        <f>IF(i_Region="Global",1,IF(OR(i_Region=T_Fabric[[#This Row],[Region]],T_Fabric[[#This Row],[Region]]="Global"),1,0))</f>
        <v>1</v>
      </c>
    </row>
    <row r="84" spans="1:19">
      <c r="B84" s="296" t="s">
        <v>740</v>
      </c>
      <c r="C84" s="299">
        <v>0.45</v>
      </c>
      <c r="D84" s="300">
        <v>210</v>
      </c>
      <c r="E84" s="294">
        <f>T_Fabric[[#This Row],[Thickness_Metric]]/25.4</f>
        <v>1.7716535433070866E-2</v>
      </c>
      <c r="F84" s="295">
        <f>T_Fabric[[#This Row],[Density_Metric]]/33.90574744</f>
        <v>6.1936401895170849</v>
      </c>
      <c r="G84" s="455">
        <v>118</v>
      </c>
      <c r="H84" s="327">
        <f>ROUND((T_Fabric[[#This Row],[RollWidth_Imperial]]*25.4)/1000,2)*1000</f>
        <v>3000</v>
      </c>
      <c r="I84" s="325" t="s">
        <v>122</v>
      </c>
      <c r="J84" s="27" t="str">
        <f t="shared" si="1"/>
        <v>Fabric cannot be railroaded.</v>
      </c>
      <c r="K84" s="1" t="s">
        <v>265</v>
      </c>
      <c r="L84" s="1">
        <f>IF(AND(i_Fabric&lt;&gt;"",i_Fabric=T_Fabric[[#This Row],[Description]]),1,0)</f>
        <v>0</v>
      </c>
      <c r="M84" s="1">
        <f>IF(i_Region="Global",1,IF(OR(i_Region=T_Fabric[[#This Row],[Region]],T_Fabric[[#This Row],[Region]]="Global"),1,0))</f>
        <v>1</v>
      </c>
    </row>
    <row r="85" spans="1:19">
      <c r="B85" s="296" t="s">
        <v>1067</v>
      </c>
      <c r="C85" s="299">
        <v>0.69</v>
      </c>
      <c r="D85" s="300">
        <v>575</v>
      </c>
      <c r="E85" s="294">
        <f>T_Fabric[[#This Row],[Thickness_Metric]]/25.4</f>
        <v>2.7165354330708661E-2</v>
      </c>
      <c r="F85" s="295">
        <f>T_Fabric[[#This Row],[Density_Metric]]/33.90574744</f>
        <v>16.958776709392016</v>
      </c>
      <c r="G85" s="455">
        <v>118</v>
      </c>
      <c r="H85" s="327">
        <f>ROUND((T_Fabric[[#This Row],[RollWidth_Imperial]]*25.4)/1000,2)*1000</f>
        <v>3000</v>
      </c>
      <c r="I85" s="325" t="s">
        <v>122</v>
      </c>
      <c r="J85" s="27" t="str">
        <f>z_Fabric_RR_No</f>
        <v>Fabric cannot be railroaded.</v>
      </c>
      <c r="K85" s="1" t="s">
        <v>420</v>
      </c>
      <c r="L85" s="1">
        <f>IF(AND(i_Fabric&lt;&gt;"",i_Fabric=T_Fabric[[#This Row],[Description]]),1,0)</f>
        <v>0</v>
      </c>
      <c r="M85" s="1">
        <f>IF(i_Region="Global",1,IF(OR(i_Region=T_Fabric[[#This Row],[Region]],T_Fabric[[#This Row],[Region]]="Global"),1,0))</f>
        <v>1</v>
      </c>
    </row>
    <row r="86" spans="1:19">
      <c r="B86" s="296" t="s">
        <v>1122</v>
      </c>
      <c r="C86" s="299">
        <v>0.85</v>
      </c>
      <c r="D86" s="300">
        <v>650</v>
      </c>
      <c r="E86" s="294">
        <f>T_Fabric[[#This Row],[Thickness_Metric]]/25.4</f>
        <v>3.3464566929133861E-2</v>
      </c>
      <c r="F86" s="295">
        <f>T_Fabric[[#This Row],[Density_Metric]]/33.90574744</f>
        <v>19.170791062790975</v>
      </c>
      <c r="G86" s="455">
        <v>126</v>
      </c>
      <c r="H86" s="327">
        <f>ROUND((T_Fabric[[#This Row],[RollWidth_Imperial]]*25.4)/1000,2)*1000</f>
        <v>3200</v>
      </c>
      <c r="I86" s="325" t="s">
        <v>121</v>
      </c>
      <c r="J86" s="27" t="str">
        <f>z_Fabric_RR_Yes</f>
        <v>Fabric can be railroaded.</v>
      </c>
      <c r="K86" s="1" t="s">
        <v>266</v>
      </c>
      <c r="L86" s="1">
        <f>IF(AND(i_Fabric&lt;&gt;"",i_Fabric=T_Fabric[[#This Row],[Description]]),1,0)</f>
        <v>0</v>
      </c>
      <c r="M86" s="1">
        <f>IF(i_Region="Global",1,IF(OR(i_Region=T_Fabric[[#This Row],[Region]],T_Fabric[[#This Row],[Region]]="Global"),1,0))</f>
        <v>0</v>
      </c>
    </row>
    <row r="87" spans="1:19">
      <c r="B87" s="296" t="s">
        <v>1123</v>
      </c>
      <c r="C87" s="299">
        <v>0.3</v>
      </c>
      <c r="D87" s="300">
        <v>250</v>
      </c>
      <c r="E87" s="294">
        <f>T_Fabric[[#This Row],[Thickness_Metric]]/25.4</f>
        <v>1.1811023622047244E-2</v>
      </c>
      <c r="F87" s="295">
        <f>T_Fabric[[#This Row],[Density_Metric]]/33.90574744</f>
        <v>7.3733811779965297</v>
      </c>
      <c r="G87" s="455">
        <v>118</v>
      </c>
      <c r="H87" s="327">
        <f>ROUND((T_Fabric[[#This Row],[RollWidth_Imperial]]*25.4)/1000,2)*1000</f>
        <v>3000</v>
      </c>
      <c r="I87" s="325" t="s">
        <v>121</v>
      </c>
      <c r="J87" s="27" t="str">
        <f>z_Fabric_RR_Yes</f>
        <v>Fabric can be railroaded.</v>
      </c>
      <c r="K87" s="1" t="s">
        <v>266</v>
      </c>
      <c r="L87" s="1">
        <f>IF(AND(i_Fabric&lt;&gt;"",i_Fabric=T_Fabric[[#This Row],[Description]]),1,0)</f>
        <v>0</v>
      </c>
      <c r="M87" s="1">
        <f>IF(i_Region="Global",1,IF(OR(i_Region=T_Fabric[[#This Row],[Region]],T_Fabric[[#This Row],[Region]]="Global"),1,0))</f>
        <v>0</v>
      </c>
    </row>
    <row r="88" spans="1:19">
      <c r="B88" s="296" t="s">
        <v>1124</v>
      </c>
      <c r="C88" s="299">
        <v>0.45</v>
      </c>
      <c r="D88" s="300">
        <v>340</v>
      </c>
      <c r="E88" s="294">
        <f>T_Fabric[[#This Row],[Thickness_Metric]]/25.4</f>
        <v>1.7716535433070866E-2</v>
      </c>
      <c r="F88" s="295">
        <f>T_Fabric[[#This Row],[Density_Metric]]/33.90574744</f>
        <v>10.02779840207528</v>
      </c>
      <c r="G88" s="455">
        <v>118</v>
      </c>
      <c r="H88" s="327">
        <f>ROUND((T_Fabric[[#This Row],[RollWidth_Imperial]]*25.4)/1000,2)*1000</f>
        <v>3000</v>
      </c>
      <c r="I88" s="325" t="s">
        <v>121</v>
      </c>
      <c r="J88" s="27" t="str">
        <f>z_Fabric_RR_Yes</f>
        <v>Fabric can be railroaded.</v>
      </c>
      <c r="K88" s="1" t="s">
        <v>266</v>
      </c>
      <c r="L88" s="1">
        <f>IF(AND(i_Fabric&lt;&gt;"",i_Fabric=T_Fabric[[#This Row],[Description]]),1,0)</f>
        <v>0</v>
      </c>
      <c r="M88" s="1">
        <f>IF(i_Region="Global",1,IF(OR(i_Region=T_Fabric[[#This Row],[Region]],T_Fabric[[#This Row],[Region]]="Global"),1,0))</f>
        <v>0</v>
      </c>
    </row>
    <row r="89" spans="1:19">
      <c r="B89" s="501" t="s">
        <v>1132</v>
      </c>
      <c r="C89" s="299">
        <v>0.35</v>
      </c>
      <c r="D89" s="300">
        <v>345</v>
      </c>
      <c r="E89" s="294">
        <f>T_Fabric[[#This Row],[Thickness_Metric]]/25.4</f>
        <v>1.3779527559055118E-2</v>
      </c>
      <c r="F89" s="295">
        <f>T_Fabric[[#This Row],[Density_Metric]]/33.90574744</f>
        <v>10.17526602563521</v>
      </c>
      <c r="G89" s="455">
        <v>118</v>
      </c>
      <c r="H89" s="455">
        <v>3000</v>
      </c>
      <c r="I89" s="325" t="s">
        <v>122</v>
      </c>
      <c r="J89" s="27" t="str">
        <f t="shared" ref="J89:J91" si="2">z_Fabric_RR_No</f>
        <v>Fabric cannot be railroaded.</v>
      </c>
      <c r="K89" s="1" t="s">
        <v>266</v>
      </c>
      <c r="L89" s="1">
        <f>IF(AND(i_Fabric&lt;&gt;"",i_Fabric=T_Fabric[[#This Row],[Description]]),1,0)</f>
        <v>0</v>
      </c>
      <c r="M89" s="1">
        <f>IF(i_Region="Global",1,IF(OR(i_Region=T_Fabric[[#This Row],[Region]],T_Fabric[[#This Row],[Region]]="Global"),1,0))</f>
        <v>0</v>
      </c>
    </row>
    <row r="90" spans="1:19">
      <c r="B90" s="501" t="s">
        <v>1133</v>
      </c>
      <c r="C90" s="299">
        <v>0.4</v>
      </c>
      <c r="D90" s="300">
        <v>230</v>
      </c>
      <c r="E90" s="294">
        <f>T_Fabric[[#This Row],[Thickness_Metric]]/25.4</f>
        <v>1.5748031496062995E-2</v>
      </c>
      <c r="F90" s="295">
        <f>T_Fabric[[#This Row],[Density_Metric]]/33.90574744</f>
        <v>6.7835106837568073</v>
      </c>
      <c r="G90" s="455">
        <v>118</v>
      </c>
      <c r="H90" s="455">
        <v>3000</v>
      </c>
      <c r="I90" s="325" t="s">
        <v>122</v>
      </c>
      <c r="J90" s="27" t="str">
        <f t="shared" si="2"/>
        <v>Fabric cannot be railroaded.</v>
      </c>
      <c r="K90" s="1" t="s">
        <v>266</v>
      </c>
      <c r="L90" s="1">
        <f>IF(AND(i_Fabric&lt;&gt;"",i_Fabric=T_Fabric[[#This Row],[Description]]),1,0)</f>
        <v>0</v>
      </c>
      <c r="M90" s="1">
        <f>IF(i_Region="Global",1,IF(OR(i_Region=T_Fabric[[#This Row],[Region]],T_Fabric[[#This Row],[Region]]="Global"),1,0))</f>
        <v>0</v>
      </c>
    </row>
    <row r="91" spans="1:19">
      <c r="B91" s="501" t="s">
        <v>1134</v>
      </c>
      <c r="C91" s="299">
        <v>0.9</v>
      </c>
      <c r="D91" s="300">
        <v>228</v>
      </c>
      <c r="E91" s="294">
        <f>T_Fabric[[#This Row],[Thickness_Metric]]/25.4</f>
        <v>3.5433070866141732E-2</v>
      </c>
      <c r="F91" s="295">
        <f>T_Fabric[[#This Row],[Density_Metric]]/33.90574744</f>
        <v>6.7245236343328347</v>
      </c>
      <c r="G91" s="455">
        <v>118</v>
      </c>
      <c r="H91" s="455">
        <v>3000</v>
      </c>
      <c r="I91" s="325" t="s">
        <v>122</v>
      </c>
      <c r="J91" s="27" t="str">
        <f t="shared" si="2"/>
        <v>Fabric cannot be railroaded.</v>
      </c>
      <c r="K91" s="1" t="s">
        <v>266</v>
      </c>
      <c r="L91" s="1">
        <f>IF(AND(i_Fabric&lt;&gt;"",i_Fabric=T_Fabric[[#This Row],[Description]]),1,0)</f>
        <v>0</v>
      </c>
      <c r="M91" s="1">
        <f>IF(i_Region="Global",1,IF(OR(i_Region=T_Fabric[[#This Row],[Region]],T_Fabric[[#This Row],[Region]]="Global"),1,0))</f>
        <v>0</v>
      </c>
    </row>
    <row r="92" spans="1:19">
      <c r="B92" s="501" t="str">
        <f>IF('4. Custom Fabric'!C10="","",'4. Custom Fabric'!C10)</f>
        <v/>
      </c>
      <c r="C92" s="502">
        <f>'4. Custom Fabric'!D10</f>
        <v>0</v>
      </c>
      <c r="D92" s="503">
        <f>'4. Custom Fabric'!E10</f>
        <v>0</v>
      </c>
      <c r="E92" s="504">
        <f>'4. Custom Fabric'!F10</f>
        <v>0</v>
      </c>
      <c r="F92" s="505">
        <f>'4. Custom Fabric'!G10</f>
        <v>0</v>
      </c>
      <c r="G92" s="455" t="s">
        <v>500</v>
      </c>
      <c r="H92" s="455" t="s">
        <v>500</v>
      </c>
      <c r="I92" s="325" t="s">
        <v>500</v>
      </c>
      <c r="J92" s="1" t="s">
        <v>500</v>
      </c>
      <c r="K92" s="1" t="s">
        <v>420</v>
      </c>
      <c r="L92" s="1">
        <f>IF(AND(i_Fabric&lt;&gt;"",i_Fabric=T_Fabric[[#This Row],[Description]]),1,0)</f>
        <v>0</v>
      </c>
      <c r="M92" s="1">
        <f>IF(i_Region="Global",1,IF(OR(i_Region=T_Fabric[[#This Row],[Region]],T_Fabric[[#This Row],[Region]]="Global"),1,0))</f>
        <v>1</v>
      </c>
    </row>
    <row r="93" spans="1:19">
      <c r="B93" s="501" t="str">
        <f>IF('4. Custom Fabric'!C11="","",'4. Custom Fabric'!C11)</f>
        <v/>
      </c>
      <c r="C93" s="502">
        <f>'4. Custom Fabric'!D11</f>
        <v>0</v>
      </c>
      <c r="D93" s="503">
        <f>'4. Custom Fabric'!E11</f>
        <v>0</v>
      </c>
      <c r="E93" s="504">
        <f>'4. Custom Fabric'!F11</f>
        <v>0</v>
      </c>
      <c r="F93" s="505">
        <f>'4. Custom Fabric'!G11</f>
        <v>0</v>
      </c>
      <c r="G93" s="455" t="s">
        <v>500</v>
      </c>
      <c r="H93" s="455" t="s">
        <v>500</v>
      </c>
      <c r="I93" s="325" t="s">
        <v>500</v>
      </c>
      <c r="J93" s="1" t="s">
        <v>500</v>
      </c>
      <c r="K93" s="1" t="s">
        <v>420</v>
      </c>
      <c r="L93" s="1">
        <f>IF(AND(i_Fabric&lt;&gt;"",i_Fabric=T_Fabric[[#This Row],[Description]]),1,0)</f>
        <v>0</v>
      </c>
      <c r="M93" s="1">
        <f>IF(i_Region="Global",1,IF(OR(i_Region=T_Fabric[[#This Row],[Region]],T_Fabric[[#This Row],[Region]]="Global"),1,0))</f>
        <v>1</v>
      </c>
    </row>
    <row r="94" spans="1:19">
      <c r="B94" s="501" t="str">
        <f>IF('4. Custom Fabric'!C12="","",'4. Custom Fabric'!C12)</f>
        <v/>
      </c>
      <c r="C94" s="502">
        <f>'4. Custom Fabric'!D12</f>
        <v>0</v>
      </c>
      <c r="D94" s="503">
        <f>'4. Custom Fabric'!E12</f>
        <v>0</v>
      </c>
      <c r="E94" s="504">
        <f>'4. Custom Fabric'!F12</f>
        <v>0</v>
      </c>
      <c r="F94" s="505">
        <f>'4. Custom Fabric'!G12</f>
        <v>0</v>
      </c>
      <c r="G94" s="455" t="s">
        <v>500</v>
      </c>
      <c r="H94" s="455" t="s">
        <v>500</v>
      </c>
      <c r="I94" s="325" t="s">
        <v>500</v>
      </c>
      <c r="J94" s="1" t="s">
        <v>500</v>
      </c>
      <c r="K94" s="1" t="s">
        <v>420</v>
      </c>
      <c r="L94" s="1">
        <f>IF(AND(i_Fabric&lt;&gt;"",i_Fabric=T_Fabric[[#This Row],[Description]]),1,0)</f>
        <v>0</v>
      </c>
      <c r="M94" s="1">
        <f>IF(i_Region="Global",1,IF(OR(i_Region=T_Fabric[[#This Row],[Region]],T_Fabric[[#This Row],[Region]]="Global"),1,0))</f>
        <v>1</v>
      </c>
    </row>
    <row r="95" spans="1:19">
      <c r="B95" s="501" t="str">
        <f>IF('4. Custom Fabric'!C13="","",'4. Custom Fabric'!C13)</f>
        <v/>
      </c>
      <c r="C95" s="502">
        <f>'4. Custom Fabric'!D13</f>
        <v>0</v>
      </c>
      <c r="D95" s="503">
        <f>'4. Custom Fabric'!E13</f>
        <v>0</v>
      </c>
      <c r="E95" s="504">
        <f>'4. Custom Fabric'!F13</f>
        <v>0</v>
      </c>
      <c r="F95" s="505">
        <f>'4. Custom Fabric'!G13</f>
        <v>0</v>
      </c>
      <c r="G95" s="455" t="s">
        <v>500</v>
      </c>
      <c r="H95" s="455" t="s">
        <v>500</v>
      </c>
      <c r="I95" s="325" t="s">
        <v>500</v>
      </c>
      <c r="J95" s="1" t="s">
        <v>500</v>
      </c>
      <c r="K95" s="1" t="s">
        <v>420</v>
      </c>
      <c r="L95" s="1">
        <f>IF(AND(i_Fabric&lt;&gt;"",i_Fabric=T_Fabric[[#This Row],[Description]]),1,0)</f>
        <v>0</v>
      </c>
      <c r="M95" s="1">
        <f>IF(i_Region="Global",1,IF(OR(i_Region=T_Fabric[[#This Row],[Region]],T_Fabric[[#This Row],[Region]]="Global"),1,0))</f>
        <v>1</v>
      </c>
    </row>
    <row r="96" spans="1:19">
      <c r="B96" s="501" t="str">
        <f>IF('4. Custom Fabric'!C14="","",'4. Custom Fabric'!C14)</f>
        <v/>
      </c>
      <c r="C96" s="502">
        <f>'4. Custom Fabric'!D14</f>
        <v>0</v>
      </c>
      <c r="D96" s="503">
        <f>'4. Custom Fabric'!E14</f>
        <v>0</v>
      </c>
      <c r="E96" s="504">
        <f>'4. Custom Fabric'!F14</f>
        <v>0</v>
      </c>
      <c r="F96" s="505">
        <f>'4. Custom Fabric'!G14</f>
        <v>0</v>
      </c>
      <c r="G96" s="455" t="s">
        <v>500</v>
      </c>
      <c r="H96" s="455" t="s">
        <v>500</v>
      </c>
      <c r="I96" s="325" t="s">
        <v>500</v>
      </c>
      <c r="J96" s="1" t="s">
        <v>500</v>
      </c>
      <c r="K96" s="1" t="s">
        <v>420</v>
      </c>
      <c r="L96" s="1">
        <f>IF(AND(i_Fabric&lt;&gt;"",i_Fabric=T_Fabric[[#This Row],[Description]]),1,0)</f>
        <v>0</v>
      </c>
      <c r="M96" s="1">
        <f>IF(i_Region="Global",1,IF(OR(i_Region=T_Fabric[[#This Row],[Region]],T_Fabric[[#This Row],[Region]]="Global"),1,0))</f>
        <v>1</v>
      </c>
    </row>
    <row r="97" spans="2:13">
      <c r="B97" s="501" t="str">
        <f>IF('4. Custom Fabric'!C15="","",'4. Custom Fabric'!C15)</f>
        <v/>
      </c>
      <c r="C97" s="502">
        <f>'4. Custom Fabric'!D15</f>
        <v>0</v>
      </c>
      <c r="D97" s="503">
        <f>'4. Custom Fabric'!E15</f>
        <v>0</v>
      </c>
      <c r="E97" s="504">
        <f>'4. Custom Fabric'!F15</f>
        <v>0</v>
      </c>
      <c r="F97" s="505">
        <f>'4. Custom Fabric'!G15</f>
        <v>0</v>
      </c>
      <c r="G97" s="455" t="s">
        <v>500</v>
      </c>
      <c r="H97" s="455" t="s">
        <v>500</v>
      </c>
      <c r="I97" s="325" t="s">
        <v>500</v>
      </c>
      <c r="J97" s="1" t="s">
        <v>500</v>
      </c>
      <c r="K97" s="1" t="s">
        <v>420</v>
      </c>
      <c r="L97" s="1">
        <f>IF(AND(i_Fabric&lt;&gt;"",i_Fabric=T_Fabric[[#This Row],[Description]]),1,0)</f>
        <v>0</v>
      </c>
      <c r="M97" s="1">
        <f>IF(i_Region="Global",1,IF(OR(i_Region=T_Fabric[[#This Row],[Region]],T_Fabric[[#This Row],[Region]]="Global"),1,0))</f>
        <v>1</v>
      </c>
    </row>
    <row r="98" spans="2:13">
      <c r="B98" s="501" t="str">
        <f>IF('4. Custom Fabric'!C16="","",'4. Custom Fabric'!C16)</f>
        <v/>
      </c>
      <c r="C98" s="502">
        <f>'4. Custom Fabric'!D16</f>
        <v>0</v>
      </c>
      <c r="D98" s="503">
        <f>'4. Custom Fabric'!E16</f>
        <v>0</v>
      </c>
      <c r="E98" s="504">
        <f>'4. Custom Fabric'!F16</f>
        <v>0</v>
      </c>
      <c r="F98" s="505">
        <f>'4. Custom Fabric'!G16</f>
        <v>0</v>
      </c>
      <c r="G98" s="455" t="s">
        <v>500</v>
      </c>
      <c r="H98" s="455" t="s">
        <v>500</v>
      </c>
      <c r="I98" s="325" t="s">
        <v>500</v>
      </c>
      <c r="J98" s="1" t="s">
        <v>500</v>
      </c>
      <c r="K98" s="1" t="s">
        <v>420</v>
      </c>
      <c r="L98" s="1">
        <f>IF(AND(i_Fabric&lt;&gt;"",i_Fabric=T_Fabric[[#This Row],[Description]]),1,0)</f>
        <v>0</v>
      </c>
      <c r="M98" s="1">
        <f>IF(i_Region="Global",1,IF(OR(i_Region=T_Fabric[[#This Row],[Region]],T_Fabric[[#This Row],[Region]]="Global"),1,0))</f>
        <v>1</v>
      </c>
    </row>
    <row r="99" spans="2:13">
      <c r="B99" s="501" t="str">
        <f>IF('4. Custom Fabric'!C17="","",'4. Custom Fabric'!C17)</f>
        <v/>
      </c>
      <c r="C99" s="502">
        <f>'4. Custom Fabric'!D17</f>
        <v>0</v>
      </c>
      <c r="D99" s="503">
        <f>'4. Custom Fabric'!E17</f>
        <v>0</v>
      </c>
      <c r="E99" s="504">
        <f>'4. Custom Fabric'!F17</f>
        <v>0</v>
      </c>
      <c r="F99" s="505">
        <f>'4. Custom Fabric'!G17</f>
        <v>0</v>
      </c>
      <c r="G99" s="455" t="s">
        <v>500</v>
      </c>
      <c r="H99" s="455" t="s">
        <v>500</v>
      </c>
      <c r="I99" s="325" t="s">
        <v>500</v>
      </c>
      <c r="J99" s="1" t="s">
        <v>500</v>
      </c>
      <c r="K99" s="1" t="s">
        <v>420</v>
      </c>
      <c r="L99" s="1">
        <f>IF(AND(i_Fabric&lt;&gt;"",i_Fabric=T_Fabric[[#This Row],[Description]]),1,0)</f>
        <v>0</v>
      </c>
      <c r="M99" s="1">
        <f>IF(i_Region="Global",1,IF(OR(i_Region=T_Fabric[[#This Row],[Region]],T_Fabric[[#This Row],[Region]]="Global"),1,0))</f>
        <v>1</v>
      </c>
    </row>
    <row r="100" spans="2:13">
      <c r="B100" s="501" t="str">
        <f>IF('4. Custom Fabric'!C18="","",'4. Custom Fabric'!C18)</f>
        <v/>
      </c>
      <c r="C100" s="502">
        <f>'4. Custom Fabric'!D18</f>
        <v>0</v>
      </c>
      <c r="D100" s="503">
        <f>'4. Custom Fabric'!E18</f>
        <v>0</v>
      </c>
      <c r="E100" s="504">
        <f>'4. Custom Fabric'!F18</f>
        <v>0</v>
      </c>
      <c r="F100" s="505">
        <f>'4. Custom Fabric'!G18</f>
        <v>0</v>
      </c>
      <c r="G100" s="455" t="s">
        <v>500</v>
      </c>
      <c r="H100" s="455" t="s">
        <v>500</v>
      </c>
      <c r="I100" s="325" t="s">
        <v>500</v>
      </c>
      <c r="J100" s="1" t="s">
        <v>500</v>
      </c>
      <c r="K100" s="1" t="s">
        <v>420</v>
      </c>
      <c r="L100" s="1">
        <f>IF(AND(i_Fabric&lt;&gt;"",i_Fabric=T_Fabric[[#This Row],[Description]]),1,0)</f>
        <v>0</v>
      </c>
      <c r="M100" s="1">
        <f>IF(i_Region="Global",1,IF(OR(i_Region=T_Fabric[[#This Row],[Region]],T_Fabric[[#This Row],[Region]]="Global"),1,0))</f>
        <v>1</v>
      </c>
    </row>
  </sheetData>
  <phoneticPr fontId="32" type="noConversion"/>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894F6-3906-4719-9B67-9A9094D5E018}">
  <sheetPr codeName="Sheet2"/>
  <dimension ref="B1:N107"/>
  <sheetViews>
    <sheetView showGridLines="0" showRowColHeaders="0" showRuler="0" workbookViewId="0">
      <selection activeCell="G54" sqref="G54"/>
    </sheetView>
  </sheetViews>
  <sheetFormatPr defaultRowHeight="14.5"/>
  <cols>
    <col min="1" max="1" width="7" customWidth="1"/>
    <col min="2" max="2" width="22.453125" customWidth="1"/>
    <col min="3" max="3" width="63" customWidth="1"/>
    <col min="4" max="4" width="1.453125" customWidth="1"/>
    <col min="5" max="6" width="60.453125" customWidth="1"/>
    <col min="7" max="7" width="35.453125" customWidth="1"/>
    <col min="8" max="8" width="31.1796875" customWidth="1"/>
  </cols>
  <sheetData>
    <row r="1" spans="2:14">
      <c r="E1" s="26" t="s">
        <v>780</v>
      </c>
      <c r="F1" s="26" t="s">
        <v>781</v>
      </c>
    </row>
    <row r="2" spans="2:14">
      <c r="B2" s="190" t="s">
        <v>371</v>
      </c>
      <c r="C2" s="116" t="s">
        <v>277</v>
      </c>
      <c r="D2" s="259"/>
      <c r="E2" s="116" t="s">
        <v>221</v>
      </c>
      <c r="F2" s="116" t="s">
        <v>340</v>
      </c>
      <c r="G2" s="116" t="s">
        <v>471</v>
      </c>
      <c r="H2" s="116" t="s">
        <v>472</v>
      </c>
      <c r="I2" s="259"/>
      <c r="J2" s="259"/>
      <c r="K2" s="259"/>
      <c r="L2" s="259"/>
      <c r="M2" s="259"/>
      <c r="N2" s="259"/>
    </row>
    <row r="3" spans="2:14">
      <c r="B3" t="s">
        <v>344</v>
      </c>
      <c r="C3" t="str" cm="1">
        <f t="array" ref="C3">INDEX(T_Dictionary[#This Row],,MATCH(i_Language,T_Dictionary[#Headers],0))</f>
        <v>Indoor Roller Shade Calculator</v>
      </c>
      <c r="D3" s="190"/>
      <c r="E3" s="140" t="s">
        <v>1125</v>
      </c>
      <c r="F3" s="140"/>
      <c r="G3" s="26"/>
      <c r="H3" s="26"/>
      <c r="I3" s="190"/>
      <c r="J3" s="190"/>
      <c r="K3" s="190"/>
      <c r="L3" s="190"/>
      <c r="M3" s="190"/>
      <c r="N3" s="190"/>
    </row>
    <row r="4" spans="2:14">
      <c r="B4" t="s">
        <v>290</v>
      </c>
      <c r="C4" t="str" cm="1">
        <f t="array" ref="C4">INDEX(T_Dictionary[#This Row],,MATCH(i_Language,T_Dictionary[#Headers],0))</f>
        <v>Fabric Search</v>
      </c>
      <c r="E4" t="s">
        <v>278</v>
      </c>
      <c r="G4" t="s">
        <v>286</v>
      </c>
    </row>
    <row r="5" spans="2:14">
      <c r="B5" t="s">
        <v>291</v>
      </c>
      <c r="C5" t="str" cm="1">
        <f t="array" ref="C5">INDEX(T_Dictionary[#This Row],,MATCH(i_Language,T_Dictionary[#Headers],0))</f>
        <v>Select Fabric</v>
      </c>
      <c r="E5" t="s">
        <v>279</v>
      </c>
      <c r="G5" s="261" t="s">
        <v>287</v>
      </c>
    </row>
    <row r="6" spans="2:14">
      <c r="B6" t="s">
        <v>292</v>
      </c>
      <c r="C6" t="str" cm="1">
        <f t="array" ref="C6">INDEX(T_Dictionary[#This Row],,MATCH(i_Language,T_Dictionary[#Headers],0))</f>
        <v>Fabric Density</v>
      </c>
      <c r="E6" t="s">
        <v>46</v>
      </c>
      <c r="G6" t="s">
        <v>288</v>
      </c>
    </row>
    <row r="7" spans="2:14">
      <c r="B7" t="s">
        <v>293</v>
      </c>
      <c r="C7" t="str" cm="1">
        <f t="array" ref="C7">INDEX(T_Dictionary[#This Row],,MATCH(i_Language,T_Dictionary[#Headers],0))</f>
        <v>Fabric Thickness</v>
      </c>
      <c r="E7" t="s">
        <v>47</v>
      </c>
      <c r="G7" t="s">
        <v>289</v>
      </c>
    </row>
    <row r="8" spans="2:14">
      <c r="B8" t="s">
        <v>450</v>
      </c>
      <c r="C8" t="str" cm="1">
        <f t="array" ref="C8">INDEX(T_Dictionary[#This Row],,MATCH(i_Language,T_Dictionary[#Headers],0))</f>
        <v>DROP</v>
      </c>
      <c r="E8" t="s">
        <v>260</v>
      </c>
    </row>
    <row r="9" spans="2:14">
      <c r="B9" t="s">
        <v>451</v>
      </c>
      <c r="C9" t="str" cm="1">
        <f t="array" ref="C9">INDEX(T_Dictionary[#This Row],,MATCH(i_Language,T_Dictionary[#Headers],0))</f>
        <v>WIDTH</v>
      </c>
      <c r="E9" t="s">
        <v>449</v>
      </c>
    </row>
    <row r="10" spans="2:14">
      <c r="B10" t="s">
        <v>448</v>
      </c>
      <c r="C10" t="str" cm="1">
        <f t="array" ref="C10">INDEX(T_Dictionary[#This Row],,MATCH(i_Language,T_Dictionary[#Headers],0))</f>
        <v>Fabric</v>
      </c>
      <c r="E10" t="s">
        <v>444</v>
      </c>
    </row>
    <row r="11" spans="2:14">
      <c r="B11" t="s">
        <v>446</v>
      </c>
      <c r="C11" t="str" cm="1">
        <f t="array" ref="C11">INDEX(T_Dictionary[#This Row],,MATCH(i_Language,T_Dictionary[#Headers],0))</f>
        <v>Density</v>
      </c>
      <c r="E11" t="s">
        <v>1</v>
      </c>
    </row>
    <row r="12" spans="2:14">
      <c r="B12" t="s">
        <v>447</v>
      </c>
      <c r="C12" t="str" cm="1">
        <f t="array" ref="C12">INDEX(T_Dictionary[#This Row],,MATCH(i_Language,T_Dictionary[#Headers],0))</f>
        <v>Thickness</v>
      </c>
      <c r="E12" t="s">
        <v>445</v>
      </c>
    </row>
    <row r="13" spans="2:14">
      <c r="B13" t="s">
        <v>361</v>
      </c>
      <c r="C13" t="str" cm="1">
        <f t="array" ref="C13">INDEX(T_Dictionary[#This Row],,MATCH(i_Language,T_Dictionary[#Headers],0))</f>
        <v>Input Width</v>
      </c>
      <c r="E13" t="s">
        <v>769</v>
      </c>
    </row>
    <row r="14" spans="2:14">
      <c r="B14" t="s">
        <v>362</v>
      </c>
      <c r="C14" t="str" cm="1">
        <f t="array" ref="C14">INDEX(T_Dictionary[#This Row],,MATCH(i_Language,T_Dictionary[#Headers],0))</f>
        <v>Input Drop</v>
      </c>
      <c r="E14" t="s">
        <v>770</v>
      </c>
    </row>
    <row r="15" spans="2:14">
      <c r="B15" t="s">
        <v>367</v>
      </c>
      <c r="C15" t="str" cm="1">
        <f t="array" ref="C15">INDEX(T_Dictionary[#This Row],,MATCH(i_Language,T_Dictionary[#Headers],0))</f>
        <v>Select Weight Bar</v>
      </c>
      <c r="E15" t="s">
        <v>246</v>
      </c>
    </row>
    <row r="16" spans="2:14">
      <c r="B16" t="s">
        <v>363</v>
      </c>
      <c r="C16" t="str" cm="1">
        <f t="array" ref="C16">INDEX(T_Dictionary[#This Row],,MATCH(i_Language,T_Dictionary[#Headers],0))</f>
        <v>Select Ballast</v>
      </c>
      <c r="E16" t="s">
        <v>269</v>
      </c>
    </row>
    <row r="17" spans="2:5">
      <c r="B17" t="s">
        <v>479</v>
      </c>
      <c r="C17" t="str" cm="1">
        <f t="array" ref="C17">INDEX(T_Dictionary[#This Row],,MATCH(i_Language,T_Dictionary[#Headers],0))</f>
        <v>Weight Bar + Ballast Total Weight</v>
      </c>
      <c r="E17" t="s">
        <v>478</v>
      </c>
    </row>
    <row r="18" spans="2:5">
      <c r="B18" t="s">
        <v>364</v>
      </c>
      <c r="C18" t="str" cm="1">
        <f t="array" ref="C18">INDEX(T_Dictionary[#This Row],,MATCH(i_Language,T_Dictionary[#Headers],0))</f>
        <v>Select Tube</v>
      </c>
      <c r="E18" t="s">
        <v>227</v>
      </c>
    </row>
    <row r="19" spans="2:5">
      <c r="B19" t="s">
        <v>368</v>
      </c>
      <c r="C19" t="str" cm="1">
        <f t="array" ref="C19">INDEX(T_Dictionary[#This Row],,MATCH(i_Language,T_Dictionary[#Headers],0))</f>
        <v>Suggested Tube</v>
      </c>
      <c r="E19" t="s">
        <v>831</v>
      </c>
    </row>
    <row r="20" spans="2:5">
      <c r="B20" t="s">
        <v>369</v>
      </c>
      <c r="C20" t="str" cm="1">
        <f t="array" ref="C20">INDEX(T_Dictionary[#This Row],,MATCH(i_Language,T_Dictionary[#Headers],0))</f>
        <v>Select Control Type</v>
      </c>
      <c r="E20" t="s">
        <v>264</v>
      </c>
    </row>
    <row r="21" spans="2:5">
      <c r="B21" t="s">
        <v>365</v>
      </c>
      <c r="C21" t="str" cm="1">
        <f t="array" ref="C21">INDEX(T_Dictionary[#This Row],,MATCH(i_Language,T_Dictionary[#Headers],0))</f>
        <v>Select Control</v>
      </c>
      <c r="E21" t="s">
        <v>251</v>
      </c>
    </row>
    <row r="22" spans="2:5">
      <c r="B22" t="s">
        <v>370</v>
      </c>
      <c r="C22" t="str" cm="1">
        <f t="array" ref="C22">INDEX(T_Dictionary[#This Row],,MATCH(i_Language,T_Dictionary[#Headers],0))</f>
        <v>Select Top Hardware System</v>
      </c>
      <c r="E22" t="s">
        <v>486</v>
      </c>
    </row>
    <row r="23" spans="2:5">
      <c r="B23" t="s">
        <v>372</v>
      </c>
      <c r="C23" t="str" cm="1">
        <f t="array" ref="C23">INDEX(T_Dictionary[#This Row],,MATCH(i_Language,T_Dictionary[#Headers],0))</f>
        <v>Tube Adaptor</v>
      </c>
      <c r="E23" t="s">
        <v>345</v>
      </c>
    </row>
    <row r="24" spans="2:5">
      <c r="B24" t="s">
        <v>379</v>
      </c>
      <c r="C24" t="str" cm="1">
        <f t="array" ref="C24">INDEX(T_Dictionary[#This Row],,MATCH(i_Language,T_Dictionary[#Headers],0))</f>
        <v>Enter Custom Motor rpm</v>
      </c>
      <c r="E24" t="s">
        <v>595</v>
      </c>
    </row>
    <row r="25" spans="2:5">
      <c r="B25" t="s">
        <v>380</v>
      </c>
      <c r="C25" t="str" cm="1">
        <f t="array" ref="C25">INDEX(T_Dictionary[#This Row],,MATCH(i_Language,T_Dictionary[#Headers],0))</f>
        <v>Select Booster</v>
      </c>
      <c r="E25" t="s">
        <v>348</v>
      </c>
    </row>
    <row r="26" spans="2:5">
      <c r="B26" t="s">
        <v>381</v>
      </c>
      <c r="C26" t="str" cm="1">
        <f t="array" ref="C26">INDEX(T_Dictionary[#This Row],,MATCH(i_Language,T_Dictionary[#Headers],0))</f>
        <v>Booster Pre-turns</v>
      </c>
      <c r="E26" t="s">
        <v>821</v>
      </c>
    </row>
    <row r="27" spans="2:5">
      <c r="B27" t="s">
        <v>418</v>
      </c>
      <c r="C27" t="str" cm="1">
        <f t="array" ref="C27">INDEX(T_Dictionary[#This Row],,MATCH(i_Language,T_Dictionary[#Headers],0))</f>
        <v>Max Booster Pre-turns</v>
      </c>
      <c r="E27" t="s">
        <v>822</v>
      </c>
    </row>
    <row r="28" spans="2:5">
      <c r="B28" t="s">
        <v>470</v>
      </c>
      <c r="C28" t="str" cm="1">
        <f t="array" ref="C28">INDEX(T_Dictionary[#This Row],,MATCH(i_Language,T_Dictionary[#Headers],0))</f>
        <v>Refer Catalogue</v>
      </c>
      <c r="E28" t="s">
        <v>469</v>
      </c>
    </row>
    <row r="29" spans="2:5">
      <c r="B29" t="s">
        <v>665</v>
      </c>
      <c r="C29" t="str" cm="1">
        <f t="array" ref="C29">INDEX(T_Dictionary[#This Row],,MATCH(i_Language,T_Dictionary[#Headers],0))</f>
        <v>Shade Torque</v>
      </c>
      <c r="E29" t="s">
        <v>782</v>
      </c>
    </row>
    <row r="30" spans="2:5">
      <c r="C30" cm="1">
        <f t="array" ref="C30">INDEX(T_Dictionary[#This Row],,MATCH(i_Language,T_Dictionary[#Headers],0))</f>
        <v>0</v>
      </c>
    </row>
    <row r="31" spans="2:5">
      <c r="C31" cm="1">
        <f t="array" ref="C31">INDEX(T_Dictionary[#This Row],,MATCH(i_Language,T_Dictionary[#Headers],0))</f>
        <v>0</v>
      </c>
    </row>
    <row r="32" spans="2:5">
      <c r="C32" cm="1">
        <f t="array" ref="C32">INDEX(T_Dictionary[#This Row],,MATCH(i_Language,T_Dictionary[#Headers],0))</f>
        <v>0</v>
      </c>
    </row>
    <row r="33" spans="2:11">
      <c r="B33" t="s">
        <v>382</v>
      </c>
      <c r="C33" t="str" cm="1">
        <f t="array" ref="C33">INDEX(T_Dictionary[#This Row],,MATCH(i_Language,T_Dictionary[#Headers],0))</f>
        <v>Weight Bar Unit Mass</v>
      </c>
      <c r="E33" t="s">
        <v>249</v>
      </c>
    </row>
    <row r="34" spans="2:11">
      <c r="B34" t="s">
        <v>383</v>
      </c>
      <c r="C34" t="str" cm="1">
        <f t="array" ref="C34">INDEX(T_Dictionary[#This Row],,MATCH(i_Language,T_Dictionary[#Headers],0))</f>
        <v>Fabric + Weight Bar Mass</v>
      </c>
      <c r="E34" t="s">
        <v>248</v>
      </c>
      <c r="K34" s="268" t="s">
        <v>776</v>
      </c>
    </row>
    <row r="35" spans="2:11">
      <c r="B35" t="s">
        <v>384</v>
      </c>
      <c r="C35" t="str" cm="1">
        <f t="array" ref="C35">INDEX(T_Dictionary[#This Row],,MATCH(i_Language,T_Dictionary[#Headers],0))</f>
        <v>Fabric + Weight Bar + Tube Mass</v>
      </c>
      <c r="E35" t="s">
        <v>250</v>
      </c>
    </row>
    <row r="36" spans="2:11">
      <c r="B36" t="s">
        <v>373</v>
      </c>
      <c r="C36" t="str" cm="1">
        <f t="array" ref="C36">INDEX(T_Dictionary[#This Row],,MATCH(i_Language,T_Dictionary[#Headers],0))</f>
        <v># Tube Rotations</v>
      </c>
      <c r="E36" t="s">
        <v>452</v>
      </c>
    </row>
    <row r="37" spans="2:11">
      <c r="B37" t="s">
        <v>366</v>
      </c>
      <c r="C37" t="str" cm="1">
        <f t="array" ref="C37">INDEX(T_Dictionary[#This Row],,MATCH(i_Language,T_Dictionary[#Headers],0))</f>
        <v>Fabric Roll Diameter</v>
      </c>
      <c r="E37" t="s">
        <v>497</v>
      </c>
    </row>
    <row r="38" spans="2:11">
      <c r="B38" t="s">
        <v>385</v>
      </c>
      <c r="C38" t="str" cm="1">
        <f t="array" ref="C38">INDEX(T_Dictionary[#This Row],,MATCH(i_Language,T_Dictionary[#Headers],0))</f>
        <v>Roll Diameter required of top hardware</v>
      </c>
      <c r="E38" t="s">
        <v>496</v>
      </c>
    </row>
    <row r="39" spans="2:11">
      <c r="B39" t="s">
        <v>374</v>
      </c>
      <c r="C39" t="str" cm="1">
        <f t="array" ref="C39">INDEX(T_Dictionary[#This Row],,MATCH(i_Language,T_Dictionary[#Headers],0))</f>
        <v>Tube Deflection</v>
      </c>
      <c r="E39" t="str">
        <f>"Tube Deflection"&amp;IF(o_LinkActive="Yes"," For Shade 1","")</f>
        <v>Tube Deflection</v>
      </c>
    </row>
    <row r="40" spans="2:11">
      <c r="B40" t="s">
        <v>386</v>
      </c>
      <c r="C40" t="str" cm="1">
        <f t="array" ref="C40">INDEX(T_Dictionary[#This Row],,MATCH(i_Language,T_Dictionary[#Headers],0))</f>
        <v>Motor Run Time for Drop</v>
      </c>
      <c r="E40" t="s">
        <v>421</v>
      </c>
    </row>
    <row r="41" spans="2:11">
      <c r="B41" t="s">
        <v>375</v>
      </c>
      <c r="C41" t="str" cm="1">
        <f t="array" ref="C41">INDEX(T_Dictionary[#This Row],,MATCH(i_Language,T_Dictionary[#Headers],0))</f>
        <v>Control Holding Capacity</v>
      </c>
      <c r="E41" t="s">
        <v>394</v>
      </c>
    </row>
    <row r="42" spans="2:11">
      <c r="B42" t="s">
        <v>414</v>
      </c>
      <c r="C42" t="str" cm="1">
        <f t="array" ref="C42">INDEX(T_Dictionary[#This Row],,MATCH(i_Language,T_Dictionary[#Headers],0))</f>
        <v>User Effort (Lifting)</v>
      </c>
      <c r="E42" t="s">
        <v>187</v>
      </c>
    </row>
    <row r="43" spans="2:11">
      <c r="B43" t="s">
        <v>415</v>
      </c>
      <c r="C43" t="str" cm="1">
        <f t="array" ref="C43">INDEX(T_Dictionary[#This Row],,MATCH(i_Language,T_Dictionary[#Headers],0))</f>
        <v>User Effort (Lowering)</v>
      </c>
      <c r="E43" t="s">
        <v>188</v>
      </c>
    </row>
    <row r="44" spans="2:11">
      <c r="B44" t="s">
        <v>416</v>
      </c>
      <c r="C44" t="str" cm="1">
        <f t="array" ref="C44">INDEX(T_Dictionary[#This Row],,MATCH(i_Language,T_Dictionary[#Headers],0))</f>
        <v>Min. Chain Length for Ball stop</v>
      </c>
      <c r="E44" t="s">
        <v>1025</v>
      </c>
    </row>
    <row r="45" spans="2:11">
      <c r="B45" t="s">
        <v>417</v>
      </c>
      <c r="C45" t="str" cm="1">
        <f t="array" ref="C45">INDEX(T_Dictionary[#This Row],,MATCH(i_Language,T_Dictionary[#Headers],0))</f>
        <v>Loop Length</v>
      </c>
      <c r="E45" t="s">
        <v>1026</v>
      </c>
    </row>
    <row r="46" spans="2:11">
      <c r="C46" cm="1">
        <f t="array" ref="C46">INDEX(T_Dictionary[#This Row],,MATCH(i_Language,T_Dictionary[#Headers],0))</f>
        <v>0</v>
      </c>
    </row>
    <row r="47" spans="2:11">
      <c r="C47" cm="1">
        <f t="array" ref="C47">INDEX(T_Dictionary[#This Row],,MATCH(i_Language,T_Dictionary[#Headers],0))</f>
        <v>0</v>
      </c>
    </row>
    <row r="48" spans="2:11">
      <c r="B48" t="s">
        <v>376</v>
      </c>
      <c r="C48" t="str" cm="1">
        <f t="array" ref="C48">INDEX(T_Dictionary[#This Row],,MATCH(i_Language,T_Dictionary[#Headers],0))</f>
        <v>Units</v>
      </c>
      <c r="E48" t="s">
        <v>217</v>
      </c>
    </row>
    <row r="49" spans="2:7">
      <c r="B49" t="s">
        <v>377</v>
      </c>
      <c r="C49" t="str" cm="1">
        <f t="array" ref="C49">INDEX(T_Dictionary[#This Row],,MATCH(i_Language,T_Dictionary[#Headers],0))</f>
        <v>Language</v>
      </c>
      <c r="E49" t="s">
        <v>218</v>
      </c>
    </row>
    <row r="50" spans="2:7">
      <c r="B50" t="s">
        <v>378</v>
      </c>
      <c r="C50" t="str" cm="1">
        <f t="array" ref="C50">INDEX(T_Dictionary[#This Row],,MATCH(i_Language,T_Dictionary[#Headers],0))</f>
        <v>Region</v>
      </c>
      <c r="E50" t="s">
        <v>245</v>
      </c>
    </row>
    <row r="51" spans="2:7">
      <c r="B51" t="s">
        <v>389</v>
      </c>
      <c r="C51" t="str" cm="1">
        <f t="array" ref="C51">INDEX(T_Dictionary[#This Row],,MATCH(i_Language,T_Dictionary[#Headers],0))</f>
        <v>Release</v>
      </c>
      <c r="E51" t="s">
        <v>409</v>
      </c>
    </row>
    <row r="52" spans="2:7">
      <c r="B52" t="s">
        <v>390</v>
      </c>
      <c r="C52" t="str" cm="1">
        <f t="array" ref="C52">INDEX(T_Dictionary[#This Row],,MATCH(i_Language,T_Dictionary[#Headers],0))</f>
        <v>OUTPUTS</v>
      </c>
      <c r="E52" t="s">
        <v>360</v>
      </c>
    </row>
    <row r="53" spans="2:7">
      <c r="B53" t="s">
        <v>407</v>
      </c>
      <c r="C53" t="str" cm="1">
        <f t="array" ref="C53">INDEX(T_Dictionary[#This Row],,MATCH(i_Language,T_Dictionary[#Headers],0))</f>
        <v>INPUTS</v>
      </c>
      <c r="E53" t="s">
        <v>406</v>
      </c>
    </row>
    <row r="54" spans="2:7">
      <c r="B54" t="s">
        <v>514</v>
      </c>
      <c r="C54" t="str" cm="1">
        <f t="array" ref="C54">INDEX(T_Dictionary[#This Row],,MATCH(i_Language,T_Dictionary[#Headers],0))</f>
        <v>FABRIC NOTES</v>
      </c>
      <c r="E54" t="s">
        <v>513</v>
      </c>
    </row>
    <row r="55" spans="2:7">
      <c r="B55" t="s">
        <v>422</v>
      </c>
      <c r="C55" t="str" cm="1">
        <f t="array" ref="C55">INDEX(T_Dictionary[#This Row],,MATCH(i_Language,T_Dictionary[#Headers],0))</f>
        <v>seconds</v>
      </c>
      <c r="E55" t="s">
        <v>425</v>
      </c>
      <c r="G55" t="s">
        <v>423</v>
      </c>
    </row>
    <row r="56" spans="2:7">
      <c r="B56" t="s">
        <v>424</v>
      </c>
      <c r="C56" t="str" cm="1">
        <f t="array" ref="C56">INDEX(T_Dictionary[#This Row],,MATCH(i_Language,T_Dictionary[#Headers],0))</f>
        <v>turns</v>
      </c>
      <c r="E56" t="s">
        <v>426</v>
      </c>
    </row>
    <row r="58" spans="2:7">
      <c r="B58" t="s">
        <v>436</v>
      </c>
      <c r="C58" t="str" cm="1">
        <f t="array" ref="C58">INDEX(T_Dictionary[#This Row],,MATCH(i_Language,T_Dictionary[#Headers],0))</f>
        <v>Select a Control.</v>
      </c>
      <c r="E58" t="s">
        <v>433</v>
      </c>
    </row>
    <row r="59" spans="2:7">
      <c r="B59" t="s">
        <v>437</v>
      </c>
      <c r="C59" t="str" cm="1">
        <f t="array" ref="C59">INDEX(T_Dictionary[#This Row],,MATCH(i_Language,T_Dictionary[#Headers],0))</f>
        <v>#Custom Entry</v>
      </c>
      <c r="E59" t="s">
        <v>427</v>
      </c>
      <c r="G59" t="s">
        <v>485</v>
      </c>
    </row>
    <row r="60" spans="2:7">
      <c r="B60" t="s">
        <v>481</v>
      </c>
      <c r="C60" t="str" cm="1">
        <f t="array" ref="C60">INDEX(T_Dictionary[#This Row],,MATCH(i_Language,T_Dictionary[#Headers],0))</f>
        <v>Enter value</v>
      </c>
      <c r="E60" t="s">
        <v>530</v>
      </c>
    </row>
    <row r="61" spans="2:7">
      <c r="B61" t="s">
        <v>536</v>
      </c>
      <c r="C61" t="str" cm="1">
        <f t="array" ref="C61">INDEX(T_Dictionary[#This Row],,MATCH(i_Language,T_Dictionary[#Headers],0))</f>
        <v>_Average Fabric</v>
      </c>
      <c r="E61" t="s">
        <v>704</v>
      </c>
    </row>
    <row r="62" spans="2:7">
      <c r="B62" t="s">
        <v>861</v>
      </c>
      <c r="C62" t="str" cm="1">
        <f t="array" ref="C62">INDEX(T_Dictionary[#This Row],,MATCH(i_Language,T_Dictionary[#Headers],0))</f>
        <v>Booster Type</v>
      </c>
      <c r="E62" t="s">
        <v>856</v>
      </c>
      <c r="F62" t="s">
        <v>856</v>
      </c>
      <c r="G62" t="s">
        <v>858</v>
      </c>
    </row>
    <row r="63" spans="2:7">
      <c r="B63" t="s">
        <v>854</v>
      </c>
      <c r="C63" t="str" cm="1">
        <f t="array" ref="C63">INDEX(T_Dictionary[#This Row],,MATCH(i_Language,T_Dictionary[#Headers],0))</f>
        <v>Booster Position</v>
      </c>
      <c r="E63" t="s">
        <v>857</v>
      </c>
      <c r="F63" t="s">
        <v>857</v>
      </c>
      <c r="G63" t="s">
        <v>859</v>
      </c>
    </row>
    <row r="64" spans="2:7">
      <c r="B64" t="s">
        <v>855</v>
      </c>
      <c r="C64" t="str" cm="1">
        <f t="array" ref="C64">INDEX(T_Dictionary[#This Row],,MATCH(i_Language,T_Dictionary[#Headers],0))</f>
        <v>Booster Pre-turns</v>
      </c>
      <c r="E64" t="s">
        <v>821</v>
      </c>
      <c r="F64" t="s">
        <v>821</v>
      </c>
      <c r="G64" t="s">
        <v>860</v>
      </c>
    </row>
    <row r="65" spans="2:7">
      <c r="B65" t="s">
        <v>851</v>
      </c>
      <c r="C65" t="s">
        <v>972</v>
      </c>
      <c r="E65" t="s">
        <v>972</v>
      </c>
      <c r="F65" t="s">
        <v>972</v>
      </c>
      <c r="G65" t="s">
        <v>853</v>
      </c>
    </row>
    <row r="66" spans="2:7">
      <c r="B66" t="s">
        <v>434</v>
      </c>
      <c r="C66" t="str" cm="1">
        <f t="array" ref="C66">INDEX(T_Dictionary[#This Row],,MATCH(i_Language,T_Dictionary[#Headers],0))</f>
        <v>Clutch</v>
      </c>
      <c r="E66" t="s">
        <v>181</v>
      </c>
      <c r="G66" t="s">
        <v>502</v>
      </c>
    </row>
    <row r="67" spans="2:7">
      <c r="B67" t="s">
        <v>435</v>
      </c>
      <c r="C67" t="str" cm="1">
        <f t="array" ref="C67">INDEX(T_Dictionary[#This Row],,MATCH(i_Language,T_Dictionary[#Headers],0))</f>
        <v>Motor</v>
      </c>
      <c r="E67" t="s">
        <v>182</v>
      </c>
      <c r="G67" t="s">
        <v>501</v>
      </c>
    </row>
    <row r="68" spans="2:7">
      <c r="B68" t="s">
        <v>572</v>
      </c>
      <c r="C68" t="str" cm="1">
        <f t="array" ref="C68">INDEX(T_Dictionary[#This Row],,MATCH(i_Language,T_Dictionary[#Headers],0))</f>
        <v>Top Hardware</v>
      </c>
      <c r="E68" t="s">
        <v>573</v>
      </c>
    </row>
    <row r="69" spans="2:7">
      <c r="B69" t="s">
        <v>453</v>
      </c>
      <c r="C69" t="str" cm="1">
        <f t="array" ref="C69">INDEX(T_Dictionary[#This Row],,MATCH(i_Language,T_Dictionary[#Headers],0))</f>
        <v>Tube</v>
      </c>
      <c r="E69" t="s">
        <v>263</v>
      </c>
    </row>
    <row r="70" spans="2:7">
      <c r="B70" t="s">
        <v>551</v>
      </c>
      <c r="C70" t="str" cm="1">
        <f t="array" ref="C70">INDEX(T_Dictionary[#This Row],,MATCH(i_Language,T_Dictionary[#Headers],0))</f>
        <v>Weight Bar</v>
      </c>
      <c r="E70" t="s">
        <v>4</v>
      </c>
    </row>
    <row r="71" spans="2:7">
      <c r="B71" t="s">
        <v>454</v>
      </c>
      <c r="C71" t="str" cm="1">
        <f t="array" ref="C71">INDEX(T_Dictionary[#This Row],,MATCH(i_Language,T_Dictionary[#Headers],0))</f>
        <v>Ballast</v>
      </c>
      <c r="E71" t="s">
        <v>91</v>
      </c>
    </row>
    <row r="72" spans="2:7">
      <c r="B72" t="s">
        <v>455</v>
      </c>
      <c r="C72" t="str" cm="1">
        <f t="array" ref="C72">INDEX(T_Dictionary[#This Row],,MATCH(i_Language,T_Dictionary[#Headers],0))</f>
        <v>Control</v>
      </c>
      <c r="E72" t="s">
        <v>23</v>
      </c>
    </row>
    <row r="73" spans="2:7">
      <c r="B73" t="s">
        <v>532</v>
      </c>
      <c r="C73" t="str" cm="1">
        <f t="array" ref="C73">INDEX(T_Dictionary[#This Row],,MATCH(i_Language,T_Dictionary[#Headers],0))</f>
        <v>Custom Weight</v>
      </c>
      <c r="E73" t="s">
        <v>529</v>
      </c>
    </row>
    <row r="74" spans="2:7">
      <c r="B74" t="s">
        <v>540</v>
      </c>
      <c r="C74" t="str" cm="1">
        <f t="array" ref="C74">INDEX(T_Dictionary[#This Row],,MATCH(i_Language,T_Dictionary[#Headers],0))</f>
        <v>Custom Fabric Density</v>
      </c>
      <c r="E74" t="s">
        <v>467</v>
      </c>
    </row>
    <row r="75" spans="2:7">
      <c r="B75" t="s">
        <v>541</v>
      </c>
      <c r="C75" t="str" cm="1">
        <f t="array" ref="C75">INDEX(T_Dictionary[#This Row],,MATCH(i_Language,T_Dictionary[#Headers],0))</f>
        <v>Custom Fabric Thickness</v>
      </c>
      <c r="E75" t="s">
        <v>468</v>
      </c>
    </row>
    <row r="76" spans="2:7">
      <c r="B76" t="s">
        <v>438</v>
      </c>
      <c r="C76" t="str" cm="1">
        <f t="array" ref="C76">INDEX(T_Dictionary[#This Row],,MATCH(i_Language,T_Dictionary[#Headers],0))</f>
        <v>Metric</v>
      </c>
      <c r="E76" t="s">
        <v>219</v>
      </c>
      <c r="G76" t="s">
        <v>483</v>
      </c>
    </row>
    <row r="77" spans="2:7">
      <c r="B77" t="s">
        <v>439</v>
      </c>
      <c r="C77" t="str" cm="1">
        <f t="array" ref="C77">INDEX(T_Dictionary[#This Row],,MATCH(i_Language,T_Dictionary[#Headers],0))</f>
        <v>Imperial</v>
      </c>
      <c r="E77" t="s">
        <v>220</v>
      </c>
      <c r="G77" t="s">
        <v>220</v>
      </c>
    </row>
    <row r="78" spans="2:7">
      <c r="B78" t="s">
        <v>535</v>
      </c>
      <c r="C78" t="str" cm="1">
        <f t="array" ref="C78">INDEX(T_Dictionary[#This Row],,MATCH(i_Language,T_Dictionary[#Headers],0))</f>
        <v>None</v>
      </c>
      <c r="E78" t="s">
        <v>534</v>
      </c>
    </row>
    <row r="79" spans="2:7">
      <c r="B79" t="s">
        <v>440</v>
      </c>
      <c r="C79" t="str" cm="1">
        <f t="array" ref="C79">INDEX(T_Dictionary[#This Row],,MATCH(i_Language,T_Dictionary[#Headers],0))</f>
        <v>Yes</v>
      </c>
      <c r="E79" t="s">
        <v>121</v>
      </c>
    </row>
    <row r="80" spans="2:7">
      <c r="B80" t="s">
        <v>441</v>
      </c>
      <c r="C80" t="str" cm="1">
        <f t="array" ref="C80">INDEX(T_Dictionary[#This Row],,MATCH(i_Language,T_Dictionary[#Headers],0))</f>
        <v>No</v>
      </c>
      <c r="E80" t="s">
        <v>122</v>
      </c>
    </row>
    <row r="81" spans="2:8">
      <c r="B81" t="s">
        <v>473</v>
      </c>
      <c r="C81" t="str" cm="1">
        <f t="array" ref="C81">INDEX(T_Dictionary[#This Row],,MATCH(i_Language,T_Dictionary[#Headers],0))</f>
        <v>Show</v>
      </c>
      <c r="E81" t="s">
        <v>429</v>
      </c>
      <c r="G81" t="s">
        <v>476</v>
      </c>
    </row>
    <row r="82" spans="2:8">
      <c r="B82" t="s">
        <v>474</v>
      </c>
      <c r="C82" t="str" cm="1">
        <f t="array" ref="C82">INDEX(T_Dictionary[#This Row],,MATCH(i_Language,T_Dictionary[#Headers],0))</f>
        <v>Hide</v>
      </c>
      <c r="E82" t="s">
        <v>430</v>
      </c>
      <c r="G82" t="s">
        <v>477</v>
      </c>
    </row>
    <row r="83" spans="2:8">
      <c r="B83" t="s">
        <v>475</v>
      </c>
      <c r="C83" t="str" cm="1">
        <f t="array" ref="C83">INDEX(T_Dictionary[#This Row],,MATCH(i_Language,T_Dictionary[#Headers],0))</f>
        <v>Global</v>
      </c>
      <c r="E83" t="s">
        <v>420</v>
      </c>
    </row>
    <row r="84" spans="2:8" s="415" customFormat="1">
      <c r="B84" s="415" t="s">
        <v>503</v>
      </c>
      <c r="C84" s="415" t="str" cm="1">
        <f t="array" ref="C84">INDEX(T_Dictionary[#This Row],,MATCH(i_Language,T_Dictionary[#Headers],0))</f>
        <v>Type text here to filter fabric dropdown list.</v>
      </c>
      <c r="E84" s="415" t="s">
        <v>466</v>
      </c>
    </row>
    <row r="85" spans="2:8">
      <c r="B85" t="s">
        <v>505</v>
      </c>
      <c r="C85" t="str" cm="1">
        <f t="array" ref="C85">INDEX(T_Dictionary[#This Row],,MATCH(i_Language,T_Dictionary[#Headers],0))</f>
        <v>Select from dropdown list.</v>
      </c>
      <c r="E85" t="s">
        <v>504</v>
      </c>
    </row>
    <row r="86" spans="2:8">
      <c r="B86" t="s">
        <v>480</v>
      </c>
      <c r="C86" t="str" cm="1">
        <f t="array" ref="C86">INDEX(T_Dictionary[#This Row],,MATCH(i_Language,T_Dictionary[#Headers],0))</f>
        <v>Put an 'X' in the hide column to remove from dropdown options.</v>
      </c>
      <c r="E86" t="s">
        <v>574</v>
      </c>
    </row>
    <row r="87" spans="2:8">
      <c r="B87" t="s">
        <v>533</v>
      </c>
      <c r="C87" t="str" cm="1">
        <f t="array" ref="C87">INDEX(T_Dictionary[#This Row],,MATCH(i_Language,T_Dictionary[#Headers],0))</f>
        <v>No suitable options.</v>
      </c>
      <c r="E87" t="s">
        <v>708</v>
      </c>
      <c r="H87" t="s">
        <v>542</v>
      </c>
    </row>
    <row r="88" spans="2:8">
      <c r="B88" t="s">
        <v>516</v>
      </c>
      <c r="C88" t="str" cm="1">
        <f t="array" ref="C88">INDEX(T_Dictionary[#This Row],,MATCH(i_Language,T_Dictionary[#Headers],0))</f>
        <v>Fabric can be railroaded.</v>
      </c>
      <c r="E88" t="s">
        <v>442</v>
      </c>
    </row>
    <row r="89" spans="2:8">
      <c r="B89" t="s">
        <v>517</v>
      </c>
      <c r="C89" t="str" cm="1">
        <f t="array" ref="C89">INDEX(T_Dictionary[#This Row],,MATCH(i_Language,T_Dictionary[#Headers],0))</f>
        <v>Fabric cannot be railroaded.</v>
      </c>
      <c r="E89" t="s">
        <v>515</v>
      </c>
    </row>
    <row r="90" spans="2:8">
      <c r="B90" t="s">
        <v>520</v>
      </c>
      <c r="C90" t="str" cm="1">
        <f t="array" ref="C90">INDEX(T_Dictionary[#This Row],,MATCH(i_Language,T_Dictionary[#Headers],0))</f>
        <v>Fabric roll width</v>
      </c>
      <c r="E90" t="s">
        <v>521</v>
      </c>
    </row>
    <row r="91" spans="2:8">
      <c r="B91" t="s">
        <v>523</v>
      </c>
      <c r="C91" t="str" cm="1">
        <f t="array" ref="C91">INDEX(T_Dictionary[#This Row],,MATCH(i_Language,T_Dictionary[#Headers],0))</f>
        <v>No Data.</v>
      </c>
      <c r="E91" t="s">
        <v>522</v>
      </c>
    </row>
    <row r="92" spans="2:8">
      <c r="B92" t="s">
        <v>555</v>
      </c>
      <c r="C92" t="str" cm="1">
        <f t="array" ref="C92">INDEX(T_Dictionary[#This Row],,MATCH(i_Language,T_Dictionary[#Headers],0))</f>
        <v>Motor Run Time (s)</v>
      </c>
      <c r="E92" t="s">
        <v>261</v>
      </c>
    </row>
    <row r="93" spans="2:8">
      <c r="B93" t="s">
        <v>579</v>
      </c>
      <c r="C93" t="str" cm="1">
        <f t="array" ref="C93">INDEX(T_Dictionary[#This Row],,MATCH(i_Language,T_Dictionary[#Headers],0))</f>
        <v>TABLE SETUP</v>
      </c>
      <c r="E93" t="s">
        <v>255</v>
      </c>
    </row>
    <row r="94" spans="2:8">
      <c r="B94" t="s">
        <v>575</v>
      </c>
      <c r="C94" t="str" cm="1">
        <f t="array" ref="C94">INDEX(T_Dictionary[#This Row],,MATCH(i_Language,T_Dictionary[#Headers],0))</f>
        <v>Width Start</v>
      </c>
      <c r="E94" t="s">
        <v>256</v>
      </c>
    </row>
    <row r="95" spans="2:8">
      <c r="B95" t="s">
        <v>576</v>
      </c>
      <c r="C95" t="str" cm="1">
        <f t="array" ref="C95">INDEX(T_Dictionary[#This Row],,MATCH(i_Language,T_Dictionary[#Headers],0))</f>
        <v>Width Increment</v>
      </c>
      <c r="E95" t="s">
        <v>257</v>
      </c>
    </row>
    <row r="96" spans="2:8">
      <c r="B96" t="s">
        <v>577</v>
      </c>
      <c r="C96" t="str" cm="1">
        <f t="array" ref="C96">INDEX(T_Dictionary[#This Row],,MATCH(i_Language,T_Dictionary[#Headers],0))</f>
        <v>Drop Start</v>
      </c>
      <c r="E96" t="s">
        <v>258</v>
      </c>
    </row>
    <row r="97" spans="2:7">
      <c r="B97" t="s">
        <v>578</v>
      </c>
      <c r="C97" t="str" cm="1">
        <f t="array" ref="C97">INDEX(T_Dictionary[#This Row],,MATCH(i_Language,T_Dictionary[#Headers],0))</f>
        <v>Drop Increment</v>
      </c>
      <c r="E97" t="s">
        <v>259</v>
      </c>
    </row>
    <row r="98" spans="2:7">
      <c r="B98" t="s">
        <v>580</v>
      </c>
      <c r="C98" t="str" cm="1">
        <f t="array" ref="C98">INDEX(T_Dictionary[#This Row],,MATCH(i_Language,T_Dictionary[#Headers],0))</f>
        <v>Allowable tube deflection &amp; within control capacity</v>
      </c>
      <c r="E98" t="s">
        <v>562</v>
      </c>
    </row>
    <row r="99" spans="2:7">
      <c r="B99" t="s">
        <v>581</v>
      </c>
      <c r="C99" t="str" cm="1">
        <f t="array" ref="C99">INDEX(T_Dictionary[#This Row],,MATCH(i_Language,T_Dictionary[#Headers],0))</f>
        <v>Allowable tube deflection outside of control capacity</v>
      </c>
      <c r="E99" t="s">
        <v>563</v>
      </c>
    </row>
    <row r="100" spans="2:7">
      <c r="B100" t="s">
        <v>582</v>
      </c>
      <c r="C100" t="str" cm="1">
        <f t="array" ref="C100">INDEX(T_Dictionary[#This Row],,MATCH(i_Language,T_Dictionary[#Headers],0))</f>
        <v>Control Capacity Only (excluding tube deflection, user effort &amp; other factors)</v>
      </c>
      <c r="E100" t="s">
        <v>801</v>
      </c>
    </row>
    <row r="101" spans="2:7">
      <c r="B101" t="s">
        <v>583</v>
      </c>
      <c r="C101" t="str" cm="1">
        <f t="array" ref="C101">INDEX(T_Dictionary[#This Row],,MATCH(i_Language,T_Dictionary[#Headers],0))</f>
        <v>Control Capacity with spring assist (if selected)</v>
      </c>
      <c r="E101" t="s">
        <v>554</v>
      </c>
    </row>
    <row r="102" spans="2:7">
      <c r="B102" t="s">
        <v>584</v>
      </c>
      <c r="C102" t="str" cm="1">
        <f t="array" ref="C102">INDEX(T_Dictionary[#This Row],,MATCH(i_Language,T_Dictionary[#Headers],0))</f>
        <v>Bracket Max Roll Diameter</v>
      </c>
      <c r="E102" t="s">
        <v>585</v>
      </c>
    </row>
    <row r="103" spans="2:7">
      <c r="B103" t="s">
        <v>680</v>
      </c>
      <c r="C103" t="str" cm="1">
        <f t="array" ref="C103">INDEX(T_Dictionary[#This Row],,MATCH(i_Language,T_Dictionary[#Headers],0))</f>
        <v>_Custom Fabric Data</v>
      </c>
      <c r="E103" t="s">
        <v>705</v>
      </c>
      <c r="G103" t="s">
        <v>681</v>
      </c>
    </row>
    <row r="104" spans="2:7">
      <c r="B104" t="s">
        <v>682</v>
      </c>
      <c r="C104" t="str" cm="1">
        <f t="array" ref="C104">INDEX(T_Dictionary[#This Row],,MATCH(i_Language,T_Dictionary[#Headers],0))</f>
        <v>_Custom Weight Bar Data</v>
      </c>
      <c r="E104" t="s">
        <v>743</v>
      </c>
    </row>
    <row r="105" spans="2:7">
      <c r="B105" t="s">
        <v>744</v>
      </c>
      <c r="C105" t="str" cm="1">
        <f t="array" ref="C105">INDEX(T_Dictionary[#This Row],,MATCH(i_Language,T_Dictionary[#Headers],0))</f>
        <v>Complete inputs for recommendation.</v>
      </c>
      <c r="E105" t="s">
        <v>745</v>
      </c>
    </row>
    <row r="106" spans="2:7">
      <c r="B106" t="s">
        <v>986</v>
      </c>
      <c r="C106" t="s">
        <v>227</v>
      </c>
    </row>
    <row r="107" spans="2:7">
      <c r="B107" t="s">
        <v>1066</v>
      </c>
      <c r="C107" t="s">
        <v>1074</v>
      </c>
    </row>
  </sheetData>
  <phoneticPr fontId="32"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6680-64B1-4893-BE6D-3F330BE07768}">
  <sheetPr codeName="Sheet5"/>
  <dimension ref="A2:AX117"/>
  <sheetViews>
    <sheetView showGridLines="0" showRowColHeaders="0" showRuler="0" workbookViewId="0">
      <selection activeCell="Y74" sqref="Y74"/>
    </sheetView>
  </sheetViews>
  <sheetFormatPr defaultRowHeight="14.5"/>
  <cols>
    <col min="2" max="2" width="35.453125" customWidth="1"/>
    <col min="3" max="3" width="23.54296875" customWidth="1"/>
    <col min="4" max="4" width="20.453125" customWidth="1"/>
    <col min="5" max="5" width="6.453125" customWidth="1"/>
    <col min="6" max="6" width="12.54296875" customWidth="1"/>
    <col min="7" max="7" width="10.453125" customWidth="1"/>
    <col min="8" max="8" width="6.453125" customWidth="1"/>
    <col min="9" max="9" width="12.54296875" customWidth="1"/>
    <col min="10" max="10" width="10.453125" customWidth="1"/>
    <col min="11" max="11" width="7.453125" customWidth="1"/>
    <col min="12" max="13" width="11.54296875" customWidth="1"/>
    <col min="14" max="14" width="6.453125" customWidth="1"/>
    <col min="15" max="16" width="11.54296875" customWidth="1"/>
    <col min="17" max="17" width="4.54296875" customWidth="1"/>
    <col min="18" max="19" width="11.54296875" customWidth="1"/>
    <col min="22" max="22" width="24.81640625" customWidth="1"/>
    <col min="24" max="24" width="22.453125" style="82" customWidth="1"/>
    <col min="25" max="25" width="11.54296875" style="82" customWidth="1"/>
    <col min="26" max="26" width="8" style="83" customWidth="1"/>
    <col min="28" max="28" width="21" bestFit="1" customWidth="1"/>
    <col min="29" max="29" width="17" bestFit="1" customWidth="1"/>
    <col min="30" max="30" width="11.1796875" bestFit="1" customWidth="1"/>
    <col min="31" max="31" width="10.81640625" customWidth="1"/>
    <col min="33" max="33" width="16.81640625" bestFit="1" customWidth="1"/>
    <col min="34" max="34" width="11.81640625" customWidth="1"/>
    <col min="38" max="38" width="18.54296875" customWidth="1"/>
    <col min="40" max="40" width="11.1796875" customWidth="1"/>
    <col min="42" max="42" width="9.453125" bestFit="1" customWidth="1"/>
    <col min="43" max="43" width="14.54296875" customWidth="1"/>
    <col min="49" max="49" width="19.36328125" bestFit="1" customWidth="1"/>
    <col min="50" max="50" width="16" bestFit="1" customWidth="1"/>
  </cols>
  <sheetData>
    <row r="2" spans="1:50" ht="15" thickBot="1">
      <c r="AM2" s="244" t="s">
        <v>222</v>
      </c>
      <c r="AN2" s="244" t="s">
        <v>223</v>
      </c>
      <c r="AO2" s="244" t="s">
        <v>224</v>
      </c>
      <c r="AP2" s="244" t="s">
        <v>245</v>
      </c>
      <c r="AQ2" s="244" t="s">
        <v>412</v>
      </c>
      <c r="AR2" s="245" t="s">
        <v>428</v>
      </c>
      <c r="AW2" t="s">
        <v>1159</v>
      </c>
      <c r="AX2" t="s">
        <v>1160</v>
      </c>
    </row>
    <row r="3" spans="1:50" ht="16" thickBot="1">
      <c r="B3" s="790" t="s">
        <v>138</v>
      </c>
      <c r="C3" s="791"/>
      <c r="D3" s="792"/>
      <c r="X3" s="268" t="s">
        <v>697</v>
      </c>
      <c r="AB3" t="s">
        <v>233</v>
      </c>
      <c r="AC3" t="s">
        <v>219</v>
      </c>
      <c r="AD3" t="s">
        <v>220</v>
      </c>
      <c r="AE3" t="s">
        <v>232</v>
      </c>
      <c r="AG3" s="205" t="s">
        <v>189</v>
      </c>
      <c r="AH3" s="204"/>
      <c r="AI3" s="204"/>
      <c r="AM3" s="245" t="str">
        <f>z_Metric</f>
        <v>Metric</v>
      </c>
      <c r="AN3" s="245" t="s">
        <v>221</v>
      </c>
      <c r="AO3" s="245" t="s">
        <v>121</v>
      </c>
      <c r="AP3" s="245" t="s">
        <v>420</v>
      </c>
      <c r="AQ3" s="245" t="s">
        <v>408</v>
      </c>
      <c r="AR3" s="245" t="str">
        <f>z_Show</f>
        <v>Show</v>
      </c>
      <c r="AW3" t="s">
        <v>1161</v>
      </c>
      <c r="AX3" s="158" t="s">
        <v>1162</v>
      </c>
    </row>
    <row r="4" spans="1:50" ht="15" thickBot="1">
      <c r="B4" s="181" t="s">
        <v>274</v>
      </c>
      <c r="C4" s="222">
        <f>5*IF(i_Units="Metric",1,INDEX(T_Units[Factor],MATCH("kg",T_Units[Metric],0)))</f>
        <v>5</v>
      </c>
      <c r="D4" s="182" t="str">
        <f ca="1">INDEX(INDIRECT("T_Units["&amp;i_Units&amp;"]"),MATCH("kg",T_Units[Metric],0))</f>
        <v>kg</v>
      </c>
      <c r="AB4" s="1">
        <v>1</v>
      </c>
      <c r="AC4" s="1" t="s">
        <v>12</v>
      </c>
      <c r="AD4" s="1" t="s">
        <v>228</v>
      </c>
      <c r="AE4" s="213">
        <f>1/25.4</f>
        <v>3.937007874015748E-2</v>
      </c>
      <c r="AG4" s="201" t="s">
        <v>190</v>
      </c>
      <c r="AH4" s="203">
        <v>0.45359237000000002</v>
      </c>
      <c r="AI4" s="201" t="s">
        <v>3</v>
      </c>
      <c r="AM4" s="245" t="str">
        <f>z_Imperial</f>
        <v>Imperial</v>
      </c>
      <c r="AN4" s="245" t="s">
        <v>471</v>
      </c>
      <c r="AO4" s="245" t="s">
        <v>122</v>
      </c>
      <c r="AP4" s="245" t="s">
        <v>265</v>
      </c>
      <c r="AQ4" s="245" t="s">
        <v>409</v>
      </c>
      <c r="AR4" s="245" t="str">
        <f>z_Hide</f>
        <v>Hide</v>
      </c>
    </row>
    <row r="5" spans="1:50" ht="16" thickBot="1">
      <c r="B5" s="187" t="s">
        <v>275</v>
      </c>
      <c r="C5" s="173"/>
      <c r="D5" s="188"/>
      <c r="X5" s="790" t="s">
        <v>157</v>
      </c>
      <c r="Y5" s="791"/>
      <c r="Z5" s="792"/>
      <c r="AB5" s="1">
        <v>2</v>
      </c>
      <c r="AC5" s="1" t="s">
        <v>3</v>
      </c>
      <c r="AD5" s="1" t="s">
        <v>192</v>
      </c>
      <c r="AE5" s="158">
        <v>2.2046226199999999</v>
      </c>
      <c r="AG5" s="201" t="s">
        <v>191</v>
      </c>
      <c r="AH5" s="203">
        <v>2.2046226199999999</v>
      </c>
      <c r="AI5" s="201" t="s">
        <v>192</v>
      </c>
      <c r="AM5" s="245"/>
      <c r="AN5" s="245" t="s">
        <v>472</v>
      </c>
      <c r="AO5" s="245"/>
      <c r="AP5" s="245" t="s">
        <v>266</v>
      </c>
      <c r="AQ5" t="s">
        <v>411</v>
      </c>
    </row>
    <row r="6" spans="1:50">
      <c r="B6" s="172" t="s">
        <v>74</v>
      </c>
      <c r="C6" s="258">
        <f>i_TubeDeflectionLimit*10</f>
        <v>1.05</v>
      </c>
      <c r="D6" s="174" t="s">
        <v>77</v>
      </c>
      <c r="H6">
        <f>i_Fdensity_Custom</f>
        <v>0</v>
      </c>
      <c r="X6" s="793" t="s">
        <v>165</v>
      </c>
      <c r="Y6" s="794"/>
      <c r="Z6" s="795"/>
      <c r="AB6" s="1">
        <v>3</v>
      </c>
      <c r="AC6" s="1" t="s">
        <v>14</v>
      </c>
      <c r="AD6" s="1" t="s">
        <v>229</v>
      </c>
      <c r="AE6" s="158">
        <v>0.74</v>
      </c>
      <c r="AG6" s="201" t="s">
        <v>193</v>
      </c>
      <c r="AH6" s="203">
        <v>1.0936132999999999</v>
      </c>
      <c r="AI6" s="201" t="s">
        <v>194</v>
      </c>
      <c r="AM6" s="245"/>
      <c r="AN6" s="245"/>
      <c r="AO6" s="245"/>
      <c r="AP6" s="245"/>
    </row>
    <row r="7" spans="1:50">
      <c r="B7" s="172" t="s">
        <v>167</v>
      </c>
      <c r="C7" s="258">
        <f>Deflection_limit</f>
        <v>1.05</v>
      </c>
      <c r="D7" s="174" t="s">
        <v>77</v>
      </c>
      <c r="X7" s="796">
        <f>i_Tube</f>
        <v>0</v>
      </c>
      <c r="Y7" s="797"/>
      <c r="Z7" s="798"/>
      <c r="AB7" s="1">
        <v>4</v>
      </c>
      <c r="AC7" s="1" t="s">
        <v>230</v>
      </c>
      <c r="AD7" s="1" t="s">
        <v>231</v>
      </c>
      <c r="AE7" s="336">
        <f>1/33.90574744</f>
        <v>2.9493524711986116E-2</v>
      </c>
      <c r="AG7" s="201" t="s">
        <v>195</v>
      </c>
      <c r="AH7" s="203">
        <v>0.91439999999999999</v>
      </c>
      <c r="AI7" s="201" t="s">
        <v>0</v>
      </c>
      <c r="AM7" s="245"/>
      <c r="AN7" s="245"/>
      <c r="AO7" s="245"/>
      <c r="AP7" s="245"/>
    </row>
    <row r="8" spans="1:50">
      <c r="B8" s="172" t="s">
        <v>262</v>
      </c>
      <c r="C8" s="258">
        <f>Deflection_Limit2</f>
        <v>1.05</v>
      </c>
      <c r="D8" s="174" t="s">
        <v>77</v>
      </c>
      <c r="X8" s="87" t="s">
        <v>28</v>
      </c>
      <c r="Y8" s="88" t="e">
        <f>INDEX(Tube_Lookup,MATCH(i_Tube,Tube_Description,0),MATCH("Tube OD",Tube_Headers,0))</f>
        <v>#N/A</v>
      </c>
      <c r="Z8" s="89" t="s">
        <v>12</v>
      </c>
      <c r="AB8" s="1">
        <v>5</v>
      </c>
      <c r="AC8" s="1" t="s">
        <v>207</v>
      </c>
      <c r="AD8" s="1" t="s">
        <v>209</v>
      </c>
      <c r="AE8" s="226">
        <v>6.7196900000000002E-4</v>
      </c>
      <c r="AG8" s="201" t="s">
        <v>196</v>
      </c>
      <c r="AH8" s="203">
        <v>25.4</v>
      </c>
      <c r="AI8" s="201" t="s">
        <v>12</v>
      </c>
      <c r="AM8" s="245"/>
      <c r="AN8" s="245"/>
      <c r="AO8" s="245"/>
      <c r="AP8" s="245"/>
    </row>
    <row r="9" spans="1:50">
      <c r="B9" s="172" t="s">
        <v>216</v>
      </c>
      <c r="C9" s="179">
        <v>0</v>
      </c>
      <c r="D9" s="174" t="s">
        <v>92</v>
      </c>
      <c r="X9" s="84" t="s">
        <v>29</v>
      </c>
      <c r="Y9" s="101" t="e">
        <f>INDEX(Tube_Lookup,MATCH(i_Tube,Tube_Description,0),MATCH("I_Min",Tube_Headers,0))</f>
        <v>#N/A</v>
      </c>
      <c r="Z9" s="85" t="s">
        <v>31</v>
      </c>
      <c r="AB9" s="1">
        <v>6</v>
      </c>
      <c r="AC9" s="1" t="s">
        <v>8</v>
      </c>
      <c r="AD9" s="1" t="s">
        <v>209</v>
      </c>
      <c r="AE9" s="226">
        <v>0.67196900000000004</v>
      </c>
      <c r="AG9" s="201" t="s">
        <v>197</v>
      </c>
      <c r="AH9" s="203">
        <v>3.9370079000000002E-2</v>
      </c>
      <c r="AI9" s="201" t="s">
        <v>198</v>
      </c>
    </row>
    <row r="10" spans="1:50">
      <c r="B10" t="s">
        <v>694</v>
      </c>
      <c r="C10" s="1">
        <v>4</v>
      </c>
      <c r="D10" s="174" t="s">
        <v>77</v>
      </c>
      <c r="X10" s="84" t="s">
        <v>75</v>
      </c>
      <c r="Y10" s="101" t="e">
        <f>INDEX(Tube_Lookup,MATCH(i_Tube,Tube_Description,0),MATCH("EI",Tube_Headers,0))</f>
        <v>#N/A</v>
      </c>
      <c r="Z10" s="85" t="s">
        <v>76</v>
      </c>
      <c r="AB10" s="1">
        <v>7</v>
      </c>
      <c r="AC10" s="1" t="s">
        <v>0</v>
      </c>
      <c r="AD10" s="1" t="s">
        <v>410</v>
      </c>
      <c r="AE10" s="1">
        <v>3.28084</v>
      </c>
      <c r="AG10" s="201" t="s">
        <v>195</v>
      </c>
      <c r="AH10" s="203">
        <v>36</v>
      </c>
      <c r="AI10" s="201" t="s">
        <v>199</v>
      </c>
    </row>
    <row r="11" spans="1:50" ht="15" thickBot="1">
      <c r="X11" s="84" t="s">
        <v>71</v>
      </c>
      <c r="Y11" s="86" t="e">
        <f>INDEX(Tube_Lookup,MATCH(i_Tube,Tube_Description,0),MATCH("Mass/m",Tube_Headers,0))</f>
        <v>#N/A</v>
      </c>
      <c r="Z11" s="85" t="s">
        <v>8</v>
      </c>
      <c r="AB11" s="1">
        <v>8</v>
      </c>
      <c r="AC11" s="1"/>
      <c r="AD11" s="1"/>
      <c r="AE11" s="1"/>
      <c r="AG11" s="201" t="s">
        <v>200</v>
      </c>
      <c r="AH11" s="203">
        <v>28.349523099999999</v>
      </c>
      <c r="AI11" s="201" t="s">
        <v>201</v>
      </c>
    </row>
    <row r="12" spans="1:50" ht="16" thickTop="1">
      <c r="B12" s="802" t="s">
        <v>759</v>
      </c>
      <c r="C12" s="803"/>
      <c r="D12" s="804"/>
      <c r="F12" s="802" t="s">
        <v>829</v>
      </c>
      <c r="G12" s="804"/>
      <c r="I12" s="802" t="s">
        <v>760</v>
      </c>
      <c r="J12" s="804"/>
      <c r="L12" s="802" t="s">
        <v>761</v>
      </c>
      <c r="M12" s="804"/>
      <c r="O12" s="802" t="s">
        <v>1101</v>
      </c>
      <c r="P12" s="804"/>
      <c r="R12" s="802" t="s">
        <v>1102</v>
      </c>
      <c r="S12" s="804"/>
      <c r="T12" s="156">
        <f>Design_Width1+Design_Width2+Design_Width3+Design_Width4+Design_Width5</f>
        <v>0</v>
      </c>
      <c r="U12" t="s">
        <v>0</v>
      </c>
      <c r="V12" t="s">
        <v>817</v>
      </c>
      <c r="X12" s="34" t="s">
        <v>172</v>
      </c>
      <c r="Y12" s="86" t="e">
        <f>INDEX(Tube_Lookup,MATCH(i_Tube,Tube_Description,0),MATCH("Max Area",Tube_Headers,0))</f>
        <v>#N/A</v>
      </c>
      <c r="Z12" s="186" t="s">
        <v>160</v>
      </c>
      <c r="AB12" s="1">
        <v>9</v>
      </c>
      <c r="AC12" s="1"/>
      <c r="AD12" s="1"/>
      <c r="AE12" s="1"/>
      <c r="AG12" s="201" t="s">
        <v>202</v>
      </c>
      <c r="AH12" s="203">
        <v>3.5273961999999999E-2</v>
      </c>
      <c r="AI12" s="201" t="s">
        <v>203</v>
      </c>
      <c r="AP12" s="454">
        <v>45037</v>
      </c>
    </row>
    <row r="13" spans="1:50">
      <c r="B13" s="478" t="s">
        <v>234</v>
      </c>
      <c r="C13" s="213">
        <f>IF(i_Units="Metric",i_width/1000,CONVERT(i_width,"in","m"))</f>
        <v>0</v>
      </c>
      <c r="D13" s="471" t="s">
        <v>0</v>
      </c>
      <c r="F13" s="486"/>
      <c r="G13" s="471"/>
      <c r="I13" s="486">
        <f>IF(i_Units="Metric",i_width2/1000,CONVERT(i_width2,"in","m"))</f>
        <v>0</v>
      </c>
      <c r="J13" s="471" t="s">
        <v>0</v>
      </c>
      <c r="L13" s="486">
        <f>IF(i_Units="Metric",i_width3/1000,CONVERT(i_width3,"in","m"))</f>
        <v>0</v>
      </c>
      <c r="M13" s="471" t="s">
        <v>0</v>
      </c>
      <c r="O13" s="486" cm="1">
        <f t="array" ref="O13">IF(i_Units="Metric",i_width4/1000,CONVERT(i_width4,"in","m"))</f>
        <v>0</v>
      </c>
      <c r="P13" s="471" t="s">
        <v>0</v>
      </c>
      <c r="R13" s="486" cm="1">
        <f t="array" ref="R13">IF(i_Units="Metric",i_width5/1000,CONVERT(i_width5,"in","m"))</f>
        <v>0</v>
      </c>
      <c r="S13" s="471" t="s">
        <v>0</v>
      </c>
      <c r="T13" s="156">
        <f>MAX(Design_Width1,Design_Width2,Design_Width3,Design_Width4,Design_Width5)</f>
        <v>0</v>
      </c>
      <c r="U13" t="s">
        <v>0</v>
      </c>
      <c r="V13" t="s">
        <v>816</v>
      </c>
      <c r="X13" s="91" t="s">
        <v>2</v>
      </c>
      <c r="Y13" s="133" t="e">
        <f>INDEX(Tube_Lookup,MATCH(i_Tube,Tube_Description,0),MATCH("Mass/m",Tube_Headers,0))*Design_Width1</f>
        <v>#N/A</v>
      </c>
      <c r="Z13" s="92" t="s">
        <v>3</v>
      </c>
      <c r="AB13" s="1"/>
      <c r="AC13" s="1"/>
      <c r="AD13" s="1"/>
      <c r="AE13" s="1"/>
      <c r="AG13" s="201" t="s">
        <v>204</v>
      </c>
      <c r="AH13" s="203">
        <v>0.49605464799999999</v>
      </c>
      <c r="AI13" s="201"/>
      <c r="AM13" s="212" t="s">
        <v>276</v>
      </c>
      <c r="AN13" s="277" t="s">
        <v>244</v>
      </c>
      <c r="AP13" t="s">
        <v>980</v>
      </c>
    </row>
    <row r="14" spans="1:50" ht="15" thickBot="1">
      <c r="B14" s="478" t="s">
        <v>235</v>
      </c>
      <c r="C14" s="213">
        <f>IF(i_Units="Metric",i_Drop/1000,CONVERT(i_Drop,"in","m"))</f>
        <v>0</v>
      </c>
      <c r="D14" s="471" t="s">
        <v>0</v>
      </c>
      <c r="F14" s="487"/>
      <c r="G14" s="471"/>
      <c r="I14" s="487"/>
      <c r="J14" s="471"/>
      <c r="L14" s="487"/>
      <c r="M14" s="471"/>
      <c r="O14" s="487"/>
      <c r="P14" s="471"/>
      <c r="R14" s="487"/>
      <c r="S14" s="471"/>
      <c r="X14" s="34" t="s">
        <v>185</v>
      </c>
      <c r="Y14" s="133" t="str">
        <f>IFERROR(INDEX(Tube_Lookup,MATCH(i_Tube,Tube_Description,0),MATCH("MaxLength",Tube_Headers,0)),"")</f>
        <v/>
      </c>
      <c r="Z14" s="186" t="s">
        <v>0</v>
      </c>
      <c r="AB14" s="1"/>
      <c r="AC14" s="1"/>
      <c r="AD14" s="1"/>
      <c r="AE14" s="1"/>
      <c r="AG14" s="201" t="s">
        <v>205</v>
      </c>
      <c r="AH14" s="203">
        <v>33.905747439999999</v>
      </c>
      <c r="AI14" s="201"/>
    </row>
    <row r="15" spans="1:50" ht="15" thickBot="1">
      <c r="A15" t="str">
        <f>IFERROR(INDEX(T_Fabric[Density_Metric],MATCH(i_Fabric,T_Fabric[Description],0))/1000,"")</f>
        <v/>
      </c>
      <c r="B15" s="478" t="s">
        <v>46</v>
      </c>
      <c r="C15" s="472" t="str">
        <f>IFERROR(IF(i_Fdensity_Custom&lt;&gt;"",i_Fdensity_Custom/1000*IF(i_units_Out="Metric",1,1/INDEX(T_Units[Factor],MATCH("g/m²",T_Units[Metric],0))),INDEX(T_Fabric[Density_Metric],MATCH(i_Fabric,T_Fabric[Description],0))/1000),"")</f>
        <v/>
      </c>
      <c r="D15" s="471" t="s">
        <v>552</v>
      </c>
      <c r="E15" s="213"/>
      <c r="F15" s="487"/>
      <c r="G15" s="471"/>
      <c r="H15" s="213"/>
      <c r="I15" s="487"/>
      <c r="J15" s="471"/>
      <c r="L15" s="487"/>
      <c r="M15" s="471"/>
      <c r="O15" s="487"/>
      <c r="P15" s="471"/>
      <c r="R15" s="487"/>
      <c r="S15" s="471"/>
      <c r="X15" s="99"/>
      <c r="Y15" s="99"/>
      <c r="Z15" s="100"/>
      <c r="AB15" s="1"/>
      <c r="AC15" s="1"/>
      <c r="AD15" s="1"/>
      <c r="AE15" s="1"/>
      <c r="AG15" s="201" t="s">
        <v>206</v>
      </c>
      <c r="AH15" s="203">
        <v>1488.1639399999999</v>
      </c>
      <c r="AI15" s="201" t="s">
        <v>207</v>
      </c>
    </row>
    <row r="16" spans="1:50">
      <c r="A16" t="str">
        <f>IFERROR(INDEX(T_Fabric[Thickness_Metric],MATCH(i_Fabric,T_Fabric[Description],0)),"")</f>
        <v/>
      </c>
      <c r="B16" s="478" t="s">
        <v>47</v>
      </c>
      <c r="C16" s="472" t="str">
        <f>IFERROR(IF(i_FThickness_Custom&lt;&gt;"",i_FThickness_Custom/IF(i_units_Out="Metric",1,INDEX(T_Units[Factor],MATCH("mm",T_Units[Metric],0))),INDEX(T_Fabric[Thickness_Metric],MATCH(i_Fabric,T_Fabric[Description],0))),"")</f>
        <v/>
      </c>
      <c r="D16" s="471" t="s">
        <v>12</v>
      </c>
      <c r="E16" s="213"/>
      <c r="F16" s="487"/>
      <c r="G16" s="471"/>
      <c r="H16" s="213"/>
      <c r="I16" s="487"/>
      <c r="J16" s="471"/>
      <c r="L16" s="487"/>
      <c r="M16" s="471"/>
      <c r="O16" s="487"/>
      <c r="P16" s="471"/>
      <c r="R16" s="487"/>
      <c r="S16" s="471"/>
      <c r="X16" s="799" t="s">
        <v>166</v>
      </c>
      <c r="Y16" s="800"/>
      <c r="Z16" s="801"/>
      <c r="AB16" s="1"/>
      <c r="AC16" s="1"/>
      <c r="AD16" s="1"/>
      <c r="AE16" s="1"/>
      <c r="AG16" s="201" t="s">
        <v>208</v>
      </c>
      <c r="AH16" s="202">
        <v>6.7196897500000001E-4</v>
      </c>
      <c r="AI16" s="201" t="s">
        <v>209</v>
      </c>
    </row>
    <row r="17" spans="2:41">
      <c r="B17" s="478" t="s">
        <v>679</v>
      </c>
      <c r="C17" s="1" t="str">
        <f>IF(OR(i_Fdensity_Custom&lt;&gt;"",i_FThickness_Custom&lt;&gt;""),"True","False")</f>
        <v>False</v>
      </c>
      <c r="D17" s="471"/>
      <c r="F17" s="487"/>
      <c r="G17" s="471"/>
      <c r="I17" s="487"/>
      <c r="J17" s="471"/>
      <c r="L17" s="487"/>
      <c r="M17" s="471"/>
      <c r="O17" s="487"/>
      <c r="P17" s="471"/>
      <c r="R17" s="487"/>
      <c r="S17" s="471"/>
      <c r="X17" s="787">
        <f>i_Tube</f>
        <v>0</v>
      </c>
      <c r="Y17" s="788"/>
      <c r="Z17" s="789"/>
      <c r="AB17" s="1"/>
      <c r="AC17" s="1"/>
      <c r="AD17" s="1"/>
      <c r="AE17" s="1"/>
      <c r="AG17" s="201" t="s">
        <v>210</v>
      </c>
      <c r="AH17" s="203">
        <v>145037.73772999999</v>
      </c>
      <c r="AI17" s="201" t="s">
        <v>211</v>
      </c>
      <c r="AM17" s="252" t="s">
        <v>484</v>
      </c>
      <c r="AN17" s="260"/>
      <c r="AO17" s="260"/>
    </row>
    <row r="18" spans="2:41">
      <c r="B18" s="478"/>
      <c r="C18" s="1"/>
      <c r="D18" s="471"/>
      <c r="F18" s="487"/>
      <c r="G18" s="471"/>
      <c r="I18" s="487"/>
      <c r="J18" s="471"/>
      <c r="L18" s="487"/>
      <c r="M18" s="471"/>
      <c r="O18" s="487"/>
      <c r="P18" s="471"/>
      <c r="R18" s="487"/>
      <c r="S18" s="471"/>
      <c r="X18" s="87" t="s">
        <v>28</v>
      </c>
      <c r="Y18" s="88" t="e">
        <f>INDEX(Tube_Lookup,MATCH(i_Tube,Tube_Description,0),MATCH("Tube OD",Tube_Headers,0))</f>
        <v>#N/A</v>
      </c>
      <c r="Z18" s="89" t="s">
        <v>12</v>
      </c>
      <c r="AB18" s="1"/>
      <c r="AC18" s="1"/>
      <c r="AD18" s="1"/>
      <c r="AE18" s="1"/>
      <c r="AG18" s="201" t="s">
        <v>212</v>
      </c>
      <c r="AH18" s="203">
        <f>41.62314256</f>
        <v>41.623142559999998</v>
      </c>
      <c r="AI18" s="201" t="s">
        <v>213</v>
      </c>
      <c r="AL18" s="153" t="s">
        <v>482</v>
      </c>
      <c r="AM18" t="str">
        <f>INDEX(T_Dictionary[English],MATCH(i_Units,_Dictionary!$C$3:$C$90,0))</f>
        <v>Metric</v>
      </c>
    </row>
    <row r="19" spans="2:41">
      <c r="B19" s="478" t="s">
        <v>247</v>
      </c>
      <c r="C19" s="213" t="e">
        <f>Design_Drop+(PI()*Tube_OD/1000)*i_pwa</f>
        <v>#N/A</v>
      </c>
      <c r="D19" s="471" t="s">
        <v>0</v>
      </c>
      <c r="F19" s="487"/>
      <c r="G19" s="471"/>
      <c r="I19" s="487"/>
      <c r="J19" s="471"/>
      <c r="L19" s="487"/>
      <c r="M19" s="471"/>
      <c r="O19" s="487"/>
      <c r="P19" s="471"/>
      <c r="R19" s="487"/>
      <c r="S19" s="471"/>
      <c r="X19" s="84" t="s">
        <v>29</v>
      </c>
      <c r="Y19" s="101" t="e">
        <f>INDEX(Tube_Lookup,MATCH(i_Tube,Tube_Description,0),MATCH("I_Min",Tube_Headers,0))</f>
        <v>#N/A</v>
      </c>
      <c r="Z19" s="85" t="s">
        <v>31</v>
      </c>
      <c r="AE19" s="1"/>
      <c r="AG19" s="201" t="s">
        <v>214</v>
      </c>
      <c r="AH19" s="203">
        <v>1.355</v>
      </c>
      <c r="AI19" s="201" t="s">
        <v>14</v>
      </c>
    </row>
    <row r="20" spans="2:41">
      <c r="B20" s="481" t="s">
        <v>357</v>
      </c>
      <c r="C20" s="86" t="e">
        <f>Design_Width1*(Fabric_Density)</f>
        <v>#VALUE!</v>
      </c>
      <c r="D20" s="473" t="s">
        <v>8</v>
      </c>
      <c r="F20" s="86"/>
      <c r="G20" s="473"/>
      <c r="I20" s="86" t="e">
        <f>Design_Width2*(Fabric_Density)</f>
        <v>#VALUE!</v>
      </c>
      <c r="J20" s="473" t="s">
        <v>8</v>
      </c>
      <c r="L20" s="86" t="e">
        <f>Design_Width3*(Fabric_Density)</f>
        <v>#VALUE!</v>
      </c>
      <c r="M20" s="473" t="s">
        <v>8</v>
      </c>
      <c r="O20" s="86" t="e">
        <f>Design_Width4*(Fabric_Density)</f>
        <v>#VALUE!</v>
      </c>
      <c r="P20" s="473" t="s">
        <v>8</v>
      </c>
      <c r="R20" s="86" t="e">
        <f>Design_Width5*(Fabric_Density)</f>
        <v>#VALUE!</v>
      </c>
      <c r="S20" s="473" t="s">
        <v>8</v>
      </c>
      <c r="T20" t="e" cm="1">
        <f t="array" ref="T20">Fabric_UnitMass+Fabric_UnitMass2+Fabric_UnitMass3+Fabric_UnitMass4+Fabric_UnitMass5</f>
        <v>#VALUE!</v>
      </c>
      <c r="V20" t="s">
        <v>818</v>
      </c>
      <c r="X20" s="84" t="s">
        <v>75</v>
      </c>
      <c r="Y20" s="101" t="e">
        <f>INDEX(Tube_Lookup,MATCH(i_Tube,Tube_Description,0),MATCH("EI",Tube_Headers,0))</f>
        <v>#N/A</v>
      </c>
      <c r="Z20" s="85" t="s">
        <v>76</v>
      </c>
      <c r="AE20" s="1"/>
      <c r="AG20" s="201" t="s">
        <v>215</v>
      </c>
      <c r="AH20" s="203">
        <v>0.11298482899999999</v>
      </c>
      <c r="AI20" s="201" t="s">
        <v>14</v>
      </c>
    </row>
    <row r="21" spans="2:41">
      <c r="B21" s="481" t="s">
        <v>358</v>
      </c>
      <c r="C21" s="86" t="e">
        <f>(Ballast_UnitMass+wb_UnitMass)</f>
        <v>#N/A</v>
      </c>
      <c r="D21" s="474" t="s">
        <v>8</v>
      </c>
      <c r="F21" s="487"/>
      <c r="G21" s="471"/>
      <c r="I21" s="487"/>
      <c r="J21" s="471"/>
      <c r="L21" s="487"/>
      <c r="M21" s="471"/>
      <c r="O21" s="487"/>
      <c r="P21" s="471"/>
      <c r="R21" s="487"/>
      <c r="S21" s="471"/>
      <c r="X21" s="84" t="s">
        <v>71</v>
      </c>
      <c r="Y21" s="86" t="e">
        <f>INDEX(Tube_Lookup,MATCH(i_Tube,Tube_Description,0),MATCH("Mass/m",Tube_Headers,0))</f>
        <v>#N/A</v>
      </c>
      <c r="Z21" s="85" t="s">
        <v>8</v>
      </c>
      <c r="AE21" s="1"/>
      <c r="AH21" s="156"/>
    </row>
    <row r="22" spans="2:41">
      <c r="B22" s="478"/>
      <c r="C22" s="1"/>
      <c r="D22" s="471"/>
      <c r="F22" s="487"/>
      <c r="G22" s="471"/>
      <c r="I22" s="487"/>
      <c r="J22" s="471"/>
      <c r="L22" s="487"/>
      <c r="M22" s="471"/>
      <c r="O22" s="487"/>
      <c r="P22" s="471"/>
      <c r="R22" s="487"/>
      <c r="S22" s="471"/>
      <c r="X22" s="34" t="s">
        <v>172</v>
      </c>
      <c r="Y22" s="86" t="e">
        <f>INDEX(Tube_Lookup,MATCH(i_Tube,Tube_Description,0),MATCH("Max Area",Tube_Headers,0))</f>
        <v>#N/A</v>
      </c>
      <c r="Z22" s="186" t="s">
        <v>160</v>
      </c>
      <c r="AE22" s="1"/>
      <c r="AH22" s="156"/>
    </row>
    <row r="23" spans="2:41">
      <c r="B23" s="482" t="s">
        <v>249</v>
      </c>
      <c r="C23" s="227" t="e">
        <f>wb_UnitMass+Ballast_TotalMass</f>
        <v>#N/A</v>
      </c>
      <c r="D23" s="475" t="s">
        <v>8</v>
      </c>
      <c r="F23" s="487"/>
      <c r="G23" s="471"/>
      <c r="I23" s="487"/>
      <c r="J23" s="471"/>
      <c r="L23" s="487"/>
      <c r="M23" s="471"/>
      <c r="O23" s="487"/>
      <c r="P23" s="471"/>
      <c r="R23" s="487"/>
      <c r="S23" s="471"/>
      <c r="X23" s="91" t="s">
        <v>2</v>
      </c>
      <c r="Y23" s="133" t="e">
        <f>INDEX(Tube_Lookup,MATCH(i_Tube,Tube_Description,0),MATCH("Mass/m",Tube_Headers,0))*Design_Width1</f>
        <v>#N/A</v>
      </c>
      <c r="Z23" s="92" t="s">
        <v>3</v>
      </c>
      <c r="AE23" s="1"/>
      <c r="AH23" s="156"/>
    </row>
    <row r="24" spans="2:41" ht="15" thickBot="1">
      <c r="B24" s="482" t="s">
        <v>355</v>
      </c>
      <c r="C24" s="227" t="e">
        <f>((Fabric_Density*Fabric_Length)+wb_UnitMass+Ballast_UnitMass)*Design_Width1+o_fabric_wb_mass2+o_fabric_wb_mass3</f>
        <v>#VALUE!</v>
      </c>
      <c r="D24" s="475" t="s">
        <v>3</v>
      </c>
      <c r="F24" s="488"/>
      <c r="G24" s="475"/>
      <c r="I24" s="488" t="e" cm="1">
        <f t="array" ref="I24">((Fabric_Density*Fabric_Length)+wb_UnitMass+Ballast_UnitMass)*Design_Width2</f>
        <v>#VALUE!</v>
      </c>
      <c r="J24" s="475" t="s">
        <v>3</v>
      </c>
      <c r="L24" s="488" t="e">
        <f>((Fabric_Density*Fabric_Length)+wb_UnitMass+Ballast_UnitMass)*Design_Width3</f>
        <v>#VALUE!</v>
      </c>
      <c r="M24" s="475" t="s">
        <v>3</v>
      </c>
      <c r="O24" s="488" t="e">
        <f>((Fabric_Density*Fabric_Length)+wb_UnitMass+Ballast_UnitMass)*Design_Width4</f>
        <v>#VALUE!</v>
      </c>
      <c r="P24" s="475" t="s">
        <v>3</v>
      </c>
      <c r="R24" s="488" t="e">
        <f>((Fabric_Density*Fabric_Length)+wb_UnitMass+Ballast_UnitMass)*Design_Width5</f>
        <v>#VALUE!</v>
      </c>
      <c r="S24" s="475" t="s">
        <v>3</v>
      </c>
      <c r="X24" s="34" t="s">
        <v>185</v>
      </c>
      <c r="Y24" s="133" t="str">
        <f>IFERROR(INDEX(Tube_Lookup,MATCH(i_Tube,Tube_Description,0),MATCH("MaxLength",Tube_Headers,0)),"")</f>
        <v/>
      </c>
      <c r="Z24" s="186" t="s">
        <v>0</v>
      </c>
      <c r="AH24" s="156"/>
    </row>
    <row r="25" spans="2:41" ht="15" thickBot="1">
      <c r="B25" s="483" t="s">
        <v>356</v>
      </c>
      <c r="C25" s="227" t="e">
        <f>((Fabric_Density*Fabric_Length)+wb_UnitMass+Ballast_UnitMass+Tube_UnitMass)*Design_Width1</f>
        <v>#VALUE!</v>
      </c>
      <c r="D25" s="475" t="s">
        <v>3</v>
      </c>
      <c r="F25" s="488"/>
      <c r="G25" s="475"/>
      <c r="I25" s="488" t="e">
        <f>((Fabric_Density*Fabric_Length)+wb_UnitMass+Ballast_UnitMass+Tube_UnitMass)*Design_Width2</f>
        <v>#VALUE!</v>
      </c>
      <c r="J25" s="475" t="s">
        <v>3</v>
      </c>
      <c r="L25" s="488" t="e">
        <f>((Fabric_Density*Fabric_Length)+wb_UnitMass+Ballast_UnitMass+Tube_UnitMass)*Design_Width3</f>
        <v>#VALUE!</v>
      </c>
      <c r="M25" s="475" t="s">
        <v>3</v>
      </c>
      <c r="O25" s="488" t="e">
        <f>((Fabric_Density*Fabric_Length)+wb_UnitMass+Ballast_UnitMass+Tube_UnitMass)*Design_Width4</f>
        <v>#VALUE!</v>
      </c>
      <c r="P25" s="475" t="s">
        <v>3</v>
      </c>
      <c r="R25" s="488" t="e">
        <f>((Fabric_Density*Fabric_Length)+wb_UnitMass+Ballast_UnitMass+Tube_UnitMass)*Design_Width5</f>
        <v>#VALUE!</v>
      </c>
      <c r="S25" s="475" t="s">
        <v>3</v>
      </c>
      <c r="X25" s="93"/>
      <c r="Y25" s="168"/>
      <c r="Z25" s="94"/>
      <c r="AH25" s="156"/>
    </row>
    <row r="26" spans="2:41">
      <c r="B26" s="478"/>
      <c r="C26" s="1"/>
      <c r="D26" s="471"/>
      <c r="F26" s="487"/>
      <c r="G26" s="471"/>
      <c r="I26" s="487"/>
      <c r="J26" s="471"/>
      <c r="L26" s="487"/>
      <c r="M26" s="471"/>
      <c r="O26" s="487"/>
      <c r="P26" s="471"/>
      <c r="R26" s="487"/>
      <c r="S26" s="471"/>
      <c r="X26" s="799" t="s">
        <v>174</v>
      </c>
      <c r="Y26" s="800"/>
      <c r="Z26" s="801"/>
      <c r="AH26" s="156"/>
    </row>
    <row r="27" spans="2:41" ht="15" thickBot="1">
      <c r="B27" s="478" t="s">
        <v>809</v>
      </c>
      <c r="C27" s="158" t="e">
        <f>INDEX(T_Controls[Holding Capacity MAX],MATCH(i_Control,T_Controls[Description],0))</f>
        <v>#N/A</v>
      </c>
      <c r="D27" s="471" t="s">
        <v>14</v>
      </c>
      <c r="F27" s="487"/>
      <c r="G27" s="471"/>
      <c r="I27" s="487"/>
      <c r="J27" s="471"/>
      <c r="L27" s="487"/>
      <c r="M27" s="471"/>
      <c r="O27" s="487"/>
      <c r="P27" s="471"/>
      <c r="R27" s="487"/>
      <c r="S27" s="471"/>
      <c r="X27" s="787" t="e">
        <f>i_tube3</f>
        <v>#NAME?</v>
      </c>
      <c r="Y27" s="788"/>
      <c r="Z27" s="789"/>
      <c r="AH27" s="156"/>
    </row>
    <row r="28" spans="2:41">
      <c r="B28" s="481" t="s">
        <v>158</v>
      </c>
      <c r="C28" s="86" t="str">
        <f>IF(i_Tube&lt;&gt;"",MAX(_LiveData!O11:O100),"")</f>
        <v/>
      </c>
      <c r="D28" s="474" t="s">
        <v>828</v>
      </c>
      <c r="F28" s="489" t="e">
        <f>(9.81*(wb_Ballast_UnitMass*Design_Width1+Fabric_UnitMass*Design_Drop))*Tube_OR_wPreWrap*2/2/1000</f>
        <v>#N/A</v>
      </c>
      <c r="G28" s="471" t="s">
        <v>14</v>
      </c>
      <c r="I28" s="489" t="e">
        <f>(9.81*(wb_Ballast_UnitMass*Design_Width2+Fabric_UnitMass2*Design_Drop))*Tube_OR_wPreWrap*2/2/1000</f>
        <v>#N/A</v>
      </c>
      <c r="J28" s="471" t="s">
        <v>14</v>
      </c>
      <c r="L28" s="489" t="e">
        <f>(9.81*(wb_Ballast_UnitMass*Design_Width3+Fabric_UnitMass3*Design_Drop))*Tube_OR_wPreWrap*2/2/1000</f>
        <v>#N/A</v>
      </c>
      <c r="M28" s="471" t="s">
        <v>14</v>
      </c>
      <c r="O28" s="489" t="e">
        <f>(9.81*(wb_Ballast_UnitMass*Design_Width4+Fabric_UnitMass4*Design_Drop))*Tube_OR_wPreWrap*2/2/1000</f>
        <v>#N/A</v>
      </c>
      <c r="P28" s="471" t="s">
        <v>14</v>
      </c>
      <c r="R28" s="489" t="e">
        <f>(9.81*(wb_Ballast_UnitMass*Design_Width5+Fabric_UnitMass5*Design_Drop))*Tube_OR_wPreWrap*2/2/1000</f>
        <v>#N/A</v>
      </c>
      <c r="S28" s="471" t="s">
        <v>14</v>
      </c>
      <c r="X28" s="87" t="s">
        <v>28</v>
      </c>
      <c r="Y28" s="88" t="e">
        <f>INDEX(Tube_Lookup,MATCH(i_Tube,Tube_Description,0),MATCH("Tube OD",Tube_Headers,0))</f>
        <v>#N/A</v>
      </c>
      <c r="Z28" s="89" t="s">
        <v>12</v>
      </c>
      <c r="AB28" s="541"/>
      <c r="AC28" s="542"/>
      <c r="AD28" s="543"/>
      <c r="AH28" s="156"/>
    </row>
    <row r="29" spans="2:41">
      <c r="B29" s="481" t="e">
        <f>"T_Midpoint @ " &amp;ROUND(_xlfn.SINGLE(Tube_Rotations)/2,1)&amp;" turns"</f>
        <v>#VALUE!</v>
      </c>
      <c r="C29" s="273" t="e">
        <f>(((((g*(wb_Ballast_UnitMass*Design_Width_Total+(Fabric_Density)*Design_Width_Total*((Design_Drop-((PI()/1000)*((Tube_Rotations/2)*Tube_OD+Fabric_Thickness*(Tube_Rotations/2)^2)))))*((((o_RollDiameter*0.5)-Fabric_Thickness*(Tube_Rotations/2)))/1000)/Control_Ratio)))))</f>
        <v>#N/A</v>
      </c>
      <c r="D29" s="474" t="s">
        <v>14</v>
      </c>
      <c r="F29" s="487"/>
      <c r="G29" s="471"/>
      <c r="I29" s="487"/>
      <c r="J29" s="471"/>
      <c r="L29" s="487"/>
      <c r="M29" s="471"/>
      <c r="O29" s="487"/>
      <c r="P29" s="471"/>
      <c r="R29" s="487"/>
      <c r="S29" s="471"/>
      <c r="X29" s="84" t="s">
        <v>29</v>
      </c>
      <c r="Y29" s="101" t="e">
        <f>INDEX(Tube_Lookup,MATCH(i_Tube,Tube_Description,0),MATCH("I_Min",Tube_Headers,0))</f>
        <v>#N/A</v>
      </c>
      <c r="Z29" s="85" t="s">
        <v>31</v>
      </c>
      <c r="AB29" s="647" t="b">
        <f>OR(CurrentRevision=VALUE(AB31),CurrentRevision&gt;=VALUE(AB31))</f>
        <v>1</v>
      </c>
      <c r="AD29" s="545"/>
    </row>
    <row r="30" spans="2:41">
      <c r="B30" s="481" t="s">
        <v>169</v>
      </c>
      <c r="C30" s="86">
        <f ca="1">MIN(_LiveData!O11:O100)</f>
        <v>0</v>
      </c>
      <c r="D30" s="474" t="s">
        <v>14</v>
      </c>
      <c r="F30" s="487"/>
      <c r="G30" s="471"/>
      <c r="I30" s="487"/>
      <c r="J30" s="471"/>
      <c r="L30" s="487"/>
      <c r="M30" s="471"/>
      <c r="O30" s="487"/>
      <c r="P30" s="471"/>
      <c r="R30" s="487"/>
      <c r="S30" s="471"/>
      <c r="X30" s="84" t="s">
        <v>75</v>
      </c>
      <c r="Y30" s="101" t="e">
        <f>INDEX(Tube_Lookup,MATCH(i_Tube,Tube_Description,0),MATCH("EI",Tube_Headers,0))</f>
        <v>#N/A</v>
      </c>
      <c r="Z30" s="85" t="s">
        <v>76</v>
      </c>
      <c r="AB30" s="688">
        <v>1.3</v>
      </c>
      <c r="AC30" t="s">
        <v>459</v>
      </c>
      <c r="AD30" s="545"/>
    </row>
    <row r="31" spans="2:41" ht="15" thickBot="1">
      <c r="B31" s="481" t="s">
        <v>171</v>
      </c>
      <c r="C31" s="176" t="e">
        <f ca="1">(C28-C30)/_xlfn.SINGLE(Tube_Rotations)</f>
        <v>#VALUE!</v>
      </c>
      <c r="D31" s="474" t="s">
        <v>168</v>
      </c>
      <c r="F31" s="487"/>
      <c r="G31" s="471"/>
      <c r="I31" s="487"/>
      <c r="J31" s="471"/>
      <c r="L31" s="487"/>
      <c r="M31" s="471"/>
      <c r="O31" s="487"/>
      <c r="P31" s="471"/>
      <c r="R31" s="487"/>
      <c r="S31" s="471"/>
      <c r="X31" s="84" t="s">
        <v>71</v>
      </c>
      <c r="Y31" s="86" t="e">
        <f>INDEX(Tube_Lookup,MATCH(i_Tube,Tube_Description,0),MATCH("Mass/m",Tube_Headers,0))</f>
        <v>#N/A</v>
      </c>
      <c r="Z31" s="85" t="s">
        <v>8</v>
      </c>
      <c r="AB31" s="648" t="str" cm="1">
        <f t="array" ref="AB31">LookupRevision</f>
        <v>1.29</v>
      </c>
      <c r="AC31" s="548" t="s">
        <v>458</v>
      </c>
      <c r="AD31" s="549"/>
    </row>
    <row r="32" spans="2:41">
      <c r="B32" s="481" t="s">
        <v>170</v>
      </c>
      <c r="C32" s="177" t="e">
        <f>ROUNDUP((C29-(Booster_k*(_xlfn.SINGLE(Tube_Rotations)/2)))/Booster_k,0)</f>
        <v>#N/A</v>
      </c>
      <c r="D32" s="474" t="s">
        <v>92</v>
      </c>
      <c r="F32" s="487"/>
      <c r="G32" s="471"/>
      <c r="I32" s="487"/>
      <c r="J32" s="471"/>
      <c r="L32" s="487"/>
      <c r="M32" s="471"/>
      <c r="O32" s="487"/>
      <c r="P32" s="471"/>
      <c r="R32" s="487"/>
      <c r="S32" s="471"/>
      <c r="X32" s="34" t="s">
        <v>172</v>
      </c>
      <c r="Y32" s="86" t="e">
        <f>INDEX(Tube_Lookup,MATCH(i_Tube,Tube_Description,0),MATCH("Max Area",Tube_Headers,0))</f>
        <v>#N/A</v>
      </c>
      <c r="Z32" s="186" t="s">
        <v>160</v>
      </c>
      <c r="AB32" s="82"/>
      <c r="AC32" s="82"/>
    </row>
    <row r="33" spans="2:30">
      <c r="B33" s="483" t="s">
        <v>175</v>
      </c>
      <c r="C33" s="189">
        <f ca="1">C30/Booster_k</f>
        <v>0</v>
      </c>
      <c r="D33" s="529" t="s">
        <v>92</v>
      </c>
      <c r="F33" s="487"/>
      <c r="G33" s="471"/>
      <c r="I33" s="487"/>
      <c r="J33" s="471"/>
      <c r="L33" s="487"/>
      <c r="M33" s="471"/>
      <c r="O33" s="487"/>
      <c r="P33" s="471"/>
      <c r="R33" s="487"/>
      <c r="S33" s="471"/>
      <c r="X33" s="91" t="s">
        <v>2</v>
      </c>
      <c r="Y33" s="133" t="e">
        <f>INDEX(Tube_Lookup,MATCH(i_Tube,Tube_Description,0),MATCH("Mass/m",Tube_Headers,0))*Design_Width1</f>
        <v>#N/A</v>
      </c>
      <c r="Z33" s="92" t="s">
        <v>3</v>
      </c>
      <c r="AB33" s="82"/>
      <c r="AC33" s="175"/>
    </row>
    <row r="34" spans="2:30" ht="15" thickBot="1">
      <c r="B34" s="484"/>
      <c r="C34" s="178"/>
      <c r="D34" s="476"/>
      <c r="F34" s="487"/>
      <c r="G34" s="471"/>
      <c r="I34" s="487"/>
      <c r="J34" s="471"/>
      <c r="L34" s="487"/>
      <c r="M34" s="471"/>
      <c r="O34" s="487"/>
      <c r="P34" s="471"/>
      <c r="R34" s="487"/>
      <c r="S34" s="471"/>
      <c r="X34" s="34" t="s">
        <v>185</v>
      </c>
      <c r="Y34" s="133" t="str">
        <f>IFERROR(INDEX(Tube_Lookup,MATCH(i_Tube,Tube_Description,0),MATCH("MaxLength",Tube_Headers,0)),"")</f>
        <v/>
      </c>
      <c r="Z34" s="186" t="s">
        <v>0</v>
      </c>
      <c r="AB34" t="str" cm="1">
        <f t="array" ref="AB34:AD34">'1. Start'!G5:I5</f>
        <v>Current Version.</v>
      </c>
      <c r="AC34">
        <v>0</v>
      </c>
      <c r="AD34">
        <v>0</v>
      </c>
    </row>
    <row r="35" spans="2:30" ht="15" thickBot="1">
      <c r="B35" s="478" t="s">
        <v>804</v>
      </c>
      <c r="C35" s="178" t="e">
        <f>IF(AVERAGE(C32:C33)&lt;0,"Select smaller booster.",AVERAGE(C32:C33))</f>
        <v>#N/A</v>
      </c>
      <c r="D35" s="476"/>
      <c r="F35" s="487"/>
      <c r="G35" s="471"/>
      <c r="I35" s="487"/>
      <c r="J35" s="471"/>
      <c r="L35" s="487"/>
      <c r="M35" s="471"/>
      <c r="O35" s="487"/>
      <c r="P35" s="471"/>
      <c r="R35" s="487"/>
      <c r="S35" s="471"/>
      <c r="X35" s="93"/>
      <c r="Y35" s="168"/>
      <c r="Z35" s="94"/>
    </row>
    <row r="36" spans="2:30">
      <c r="B36" s="478"/>
      <c r="C36" s="1"/>
      <c r="D36" s="471"/>
      <c r="F36" s="487"/>
      <c r="G36" s="471"/>
      <c r="I36" s="487"/>
      <c r="J36" s="471"/>
      <c r="L36" s="487"/>
      <c r="M36" s="471"/>
      <c r="O36" s="487"/>
      <c r="P36" s="471"/>
      <c r="R36" s="487"/>
      <c r="S36" s="471"/>
      <c r="X36" s="805" t="s">
        <v>4</v>
      </c>
      <c r="Y36" s="800"/>
      <c r="Z36" s="192"/>
    </row>
    <row r="37" spans="2:30">
      <c r="B37" s="478" t="s">
        <v>351</v>
      </c>
      <c r="C37" s="158" t="e">
        <f>(Booster_TMax/((Tube_OD/2/1000)))/g</f>
        <v>#N/A</v>
      </c>
      <c r="D37" s="476" t="s">
        <v>3</v>
      </c>
      <c r="F37" s="487"/>
      <c r="G37" s="471"/>
      <c r="I37" s="487"/>
      <c r="J37" s="471"/>
      <c r="L37" s="487"/>
      <c r="M37" s="471"/>
      <c r="O37" s="487"/>
      <c r="P37" s="471"/>
      <c r="R37" s="487"/>
      <c r="S37" s="471"/>
      <c r="X37" s="787">
        <f>i_wb</f>
        <v>0</v>
      </c>
      <c r="Y37" s="788"/>
      <c r="Z37" s="789"/>
    </row>
    <row r="38" spans="2:30">
      <c r="B38" s="478"/>
      <c r="C38" s="1"/>
      <c r="D38" s="471"/>
      <c r="F38" s="487"/>
      <c r="G38" s="471"/>
      <c r="I38" s="487"/>
      <c r="J38" s="471"/>
      <c r="L38" s="487"/>
      <c r="M38" s="471"/>
      <c r="O38" s="487"/>
      <c r="P38" s="471"/>
      <c r="R38" s="487"/>
      <c r="S38" s="471"/>
      <c r="X38" s="87" t="s">
        <v>6</v>
      </c>
      <c r="Y38" s="88">
        <f>Design_Width1</f>
        <v>0</v>
      </c>
      <c r="Z38" s="89" t="s">
        <v>0</v>
      </c>
    </row>
    <row r="39" spans="2:30">
      <c r="B39" s="478" t="s">
        <v>254</v>
      </c>
      <c r="C39" s="200" t="e">
        <f>ABS('1. Start'!L17-'1. Start'!L16)</f>
        <v>#VALUE!</v>
      </c>
      <c r="D39" s="476" t="s">
        <v>3</v>
      </c>
      <c r="F39" s="487"/>
      <c r="G39" s="471"/>
      <c r="I39" s="487"/>
      <c r="J39" s="471"/>
      <c r="L39" s="487"/>
      <c r="M39" s="471"/>
      <c r="O39" s="487"/>
      <c r="P39" s="471"/>
      <c r="R39" s="487"/>
      <c r="S39" s="471"/>
      <c r="X39" s="84"/>
      <c r="Y39" s="90"/>
      <c r="Z39" s="85"/>
    </row>
    <row r="40" spans="2:30">
      <c r="B40" s="478"/>
      <c r="C40" s="1"/>
      <c r="D40" s="471"/>
      <c r="F40" s="487"/>
      <c r="G40" s="471"/>
      <c r="I40" s="487"/>
      <c r="J40" s="471"/>
      <c r="L40" s="487"/>
      <c r="M40" s="471"/>
      <c r="O40" s="487"/>
      <c r="P40" s="471"/>
      <c r="R40" s="487"/>
      <c r="S40" s="471"/>
      <c r="X40" s="13"/>
      <c r="Y40" s="96"/>
      <c r="Z40" s="85"/>
    </row>
    <row r="41" spans="2:30">
      <c r="B41" s="478" t="s">
        <v>350</v>
      </c>
      <c r="C41" s="158" t="e">
        <f>(_xlfn.SINGLE(Tube_Rotations)+i_pwa)*Fabric_Thickness*2+Tube_OD</f>
        <v>#VALUE!</v>
      </c>
      <c r="D41" s="471" t="s">
        <v>12</v>
      </c>
      <c r="F41" s="487"/>
      <c r="G41" s="471"/>
      <c r="I41" s="487"/>
      <c r="J41" s="471"/>
      <c r="L41" s="487"/>
      <c r="M41" s="471"/>
      <c r="O41" s="487"/>
      <c r="P41" s="471"/>
      <c r="R41" s="487"/>
      <c r="S41" s="471"/>
      <c r="X41" s="84" t="s">
        <v>71</v>
      </c>
      <c r="Y41" s="86" t="e">
        <f>INDEX(T_WeightBars[Mass/m],MATCH(i_wb,T_WeightBars[Description],0))/1000</f>
        <v>#N/A</v>
      </c>
      <c r="Z41" s="95" t="s">
        <v>8</v>
      </c>
    </row>
    <row r="42" spans="2:30">
      <c r="B42" s="478"/>
      <c r="C42" s="158"/>
      <c r="D42" s="471"/>
      <c r="F42" s="487"/>
      <c r="G42" s="471"/>
      <c r="I42" s="487"/>
      <c r="J42" s="471"/>
      <c r="L42" s="487"/>
      <c r="M42" s="471"/>
      <c r="O42" s="487"/>
      <c r="P42" s="471"/>
      <c r="R42" s="487"/>
      <c r="S42" s="471"/>
      <c r="X42" s="97" t="s">
        <v>2</v>
      </c>
      <c r="Y42" s="102" t="e">
        <f>wb_UnitMass*Design_Width1</f>
        <v>#N/A</v>
      </c>
      <c r="Z42" s="98" t="s">
        <v>3</v>
      </c>
    </row>
    <row r="43" spans="2:30" ht="15" thickBot="1">
      <c r="B43" s="478"/>
      <c r="C43" s="158"/>
      <c r="D43" s="471"/>
      <c r="F43" s="487"/>
      <c r="G43" s="471"/>
      <c r="I43" s="487"/>
      <c r="J43" s="471"/>
      <c r="L43" s="487"/>
      <c r="M43" s="471"/>
      <c r="O43" s="487"/>
      <c r="P43" s="471"/>
      <c r="R43" s="487"/>
      <c r="S43" s="471"/>
    </row>
    <row r="44" spans="2:30">
      <c r="B44" s="478"/>
      <c r="C44" s="477" t="s">
        <v>598</v>
      </c>
      <c r="D44" s="471"/>
      <c r="F44" s="487"/>
      <c r="G44" s="471"/>
      <c r="I44" s="487"/>
      <c r="J44" s="471"/>
      <c r="L44" s="487"/>
      <c r="M44" s="471"/>
      <c r="O44" s="487"/>
      <c r="P44" s="471"/>
      <c r="R44" s="487"/>
      <c r="S44" s="471"/>
      <c r="X44" s="805" t="s">
        <v>23</v>
      </c>
      <c r="Y44" s="800"/>
      <c r="Z44" s="801"/>
    </row>
    <row r="45" spans="2:30">
      <c r="B45" s="478" t="s">
        <v>655</v>
      </c>
      <c r="C45" s="477" t="e">
        <f>(5/384)*((g*(Fabric_Density*Design_Drop+Tube_UnitMass+wb_UnitMass+Ballast_UnitMass)*Design_Width1^4)/Tube_IE)*1000</f>
        <v>#VALUE!</v>
      </c>
      <c r="D45" s="471" t="s">
        <v>12</v>
      </c>
      <c r="F45" s="489"/>
      <c r="G45" s="471"/>
      <c r="I45" s="489" t="e">
        <f>(5/384)*((g*(Fabric_Density*Design_Drop+Tube_UnitMass+wb_UnitMass+Ballast_UnitMass)*Design_Width2^4)/Tube_IE)*1000</f>
        <v>#VALUE!</v>
      </c>
      <c r="J45" s="471" t="s">
        <v>12</v>
      </c>
      <c r="L45" s="489" t="e">
        <f>(5/384)*((g*(Fabric_Density*Design_Drop+Tube_UnitMass+wb_UnitMass+Ballast_UnitMass)*Design_Width3^4)/Tube_IE)*1000</f>
        <v>#VALUE!</v>
      </c>
      <c r="M45" s="471" t="s">
        <v>12</v>
      </c>
      <c r="O45" s="489" t="e">
        <f>(5/384)*((g*(Fabric_Density*Design_Drop+Tube_UnitMass+wb_UnitMass+Ballast_UnitMass)*Design_Width4^4)/Tube_IE)*1000</f>
        <v>#VALUE!</v>
      </c>
      <c r="P45" s="471" t="s">
        <v>12</v>
      </c>
      <c r="R45" s="489" t="e">
        <f>(5/384)*((g*(Fabric_Density*Design_Drop+Tube_UnitMass+wb_UnitMass+Ballast_UnitMass)*Design_Width5^4)/Tube_IE)*1000</f>
        <v>#VALUE!</v>
      </c>
      <c r="S45" s="471" t="s">
        <v>12</v>
      </c>
      <c r="X45" s="806">
        <f>i_Control</f>
        <v>0</v>
      </c>
      <c r="Y45" s="807"/>
      <c r="Z45" s="808"/>
    </row>
    <row r="46" spans="2:30">
      <c r="B46" s="478" t="s">
        <v>663</v>
      </c>
      <c r="C46" s="477" t="e">
        <f>(-(i_pwa*Fabric_Thickness*2+Tube_OD)+SQRT((i_pwa*Fabric_Thickness*2+Tube_OD)^2+4*Fabric_Thickness*Design_Drop*1000/PI()))/(2*Fabric_Thickness)</f>
        <v>#VALUE!</v>
      </c>
      <c r="D46" s="471" t="s">
        <v>92</v>
      </c>
      <c r="F46" s="487"/>
      <c r="G46" s="471"/>
      <c r="I46" s="487"/>
      <c r="J46" s="471"/>
      <c r="L46" s="487"/>
      <c r="M46" s="471"/>
      <c r="O46" s="487"/>
      <c r="P46" s="471"/>
      <c r="R46" s="487"/>
      <c r="S46" s="471"/>
      <c r="X46" s="87" t="s">
        <v>48</v>
      </c>
      <c r="Y46" s="167" t="e">
        <f>INDEX(Control_Lookup,MATCH(i_Control,Control_Description,0),MATCH("Diameter",Control_Headers,0))</f>
        <v>#N/A</v>
      </c>
      <c r="Z46" s="89" t="s">
        <v>12</v>
      </c>
    </row>
    <row r="47" spans="2:30">
      <c r="B47" s="478"/>
      <c r="C47" s="158" t="e">
        <f>(5/384)*((g*(Fabric_Density*Design_Drop+Tube_UnitMass+wb_UnitMass+Ballast_UnitMass)*Design_Width1^4)/Tube_IE)*1000</f>
        <v>#VALUE!</v>
      </c>
      <c r="D47" s="471" t="s">
        <v>12</v>
      </c>
      <c r="F47" s="487"/>
      <c r="G47" s="471"/>
      <c r="I47" s="487"/>
      <c r="J47" s="471"/>
      <c r="L47" s="487"/>
      <c r="M47" s="471"/>
      <c r="O47" s="487"/>
      <c r="P47" s="471"/>
      <c r="R47" s="487"/>
      <c r="S47" s="471"/>
      <c r="X47" s="193" t="s">
        <v>156</v>
      </c>
      <c r="Y47" s="227" t="e">
        <f>INDEX(Control_Lookup,MATCH(i_Control,Control_Description,0),MATCH("Holding Capacity",Control_Headers,0))</f>
        <v>#N/A</v>
      </c>
      <c r="Z47" s="195" t="s">
        <v>14</v>
      </c>
    </row>
    <row r="48" spans="2:30">
      <c r="B48" s="478"/>
      <c r="C48" s="477" t="str" cm="1">
        <f t="array" ref="C48">IFERROR(Tube_Deflection1,"ERROR")</f>
        <v>ERROR</v>
      </c>
      <c r="D48" s="471" t="s">
        <v>12</v>
      </c>
      <c r="F48" s="487"/>
      <c r="G48" s="471"/>
      <c r="I48" s="487"/>
      <c r="J48" s="471"/>
      <c r="L48" s="487"/>
      <c r="M48" s="471"/>
      <c r="O48" s="487"/>
      <c r="P48" s="471"/>
      <c r="R48" s="487"/>
      <c r="S48" s="471"/>
      <c r="X48" s="193" t="s">
        <v>354</v>
      </c>
      <c r="Y48" s="227" t="e">
        <f>(((Control_Capacity+Booster_TMax)/((Tube_OD/2/1000)))/g)*IF(i_Units="Metric",1,INDEX(T_Units[Factor],MATCH("kg",T_Units[Metric],0)))</f>
        <v>#N/A</v>
      </c>
      <c r="Z48" s="223" t="str">
        <f ca="1">INDEX(INDIRECT("T_Units["&amp;i_Units&amp;"]"),MATCH("kg",T_Units[Metric],0))</f>
        <v>kg</v>
      </c>
    </row>
    <row r="49" spans="2:30">
      <c r="B49" s="478" t="s">
        <v>395</v>
      </c>
      <c r="C49" s="213">
        <f>Design_Width1*Deflection_limit*IF(i_Units="Metric",1,INDEX(T_Units[Factor],MATCH("mm",T_Units[Metric],0)))</f>
        <v>0</v>
      </c>
      <c r="D49" s="471" t="str">
        <f ca="1">INDEX(INDIRECT("T_Units["&amp;i_Units&amp;"]"),MATCH("mm",T_Units[Metric],0))</f>
        <v>mm</v>
      </c>
      <c r="F49" s="530"/>
      <c r="G49" s="471"/>
      <c r="I49" s="530">
        <f>Design_Width2*Deflection_limit*IF(i_Units="Metric",1,INDEX(T_Units[Factor],MATCH("mm",T_Units[Metric],0)))</f>
        <v>0</v>
      </c>
      <c r="J49" s="471" t="str">
        <f ca="1">INDEX(INDIRECT("T_Units["&amp;i_Units&amp;"]"),MATCH("mm",T_Units[Metric],0))</f>
        <v>mm</v>
      </c>
      <c r="L49" s="530">
        <f>Design_Width3*Deflection_limit*IF(i_Units="Metric",1,INDEX(T_Units[Factor],MATCH("mm",T_Units[Metric],0)))</f>
        <v>0</v>
      </c>
      <c r="M49" s="471" t="str">
        <f ca="1">INDEX(INDIRECT("T_Units["&amp;i_Units&amp;"]"),MATCH("mm",T_Units[Metric],0))</f>
        <v>mm</v>
      </c>
      <c r="O49" s="530">
        <f>Design_Width3*Deflection_limit*IF(i_Units="Metric",1,INDEX(T_Units[Factor],MATCH("mm",T_Units[Metric],0)))</f>
        <v>0</v>
      </c>
      <c r="P49" s="471" t="str">
        <f ca="1">INDEX(INDIRECT("T_Units["&amp;i_Units&amp;"]"),MATCH("mm",T_Units[Metric],0))</f>
        <v>mm</v>
      </c>
      <c r="R49" s="530">
        <f>Design_Width3*Deflection_limit*IF(i_Units="Metric",1,INDEX(T_Units[Factor],MATCH("mm",T_Units[Metric],0)))</f>
        <v>0</v>
      </c>
      <c r="S49" s="471" t="str">
        <f ca="1">INDEX(INDIRECT("T_Units["&amp;i_Units&amp;"]"),MATCH("mm",T_Units[Metric],0))</f>
        <v>mm</v>
      </c>
      <c r="X49" s="193" t="s">
        <v>272</v>
      </c>
      <c r="Y49" s="227" t="e">
        <f>((Control_Capacity)/((Tube_OD/2/1000)))/g</f>
        <v>#N/A</v>
      </c>
      <c r="Z49" s="223" t="s">
        <v>3</v>
      </c>
      <c r="AA49" t="s">
        <v>798</v>
      </c>
      <c r="AD49" t="s">
        <v>799</v>
      </c>
    </row>
    <row r="50" spans="2:30">
      <c r="B50" s="478" t="s">
        <v>696</v>
      </c>
      <c r="C50" s="213">
        <f>Design_Width1*Deflection_Limit_ZS*IF(i_Units="Metric",1,INDEX(T_Units[Factor],MATCH("mm",T_Units[Metric],0)))</f>
        <v>0</v>
      </c>
      <c r="D50" s="471" t="str">
        <f ca="1">INDEX(INDIRECT("T_Units["&amp;i_Units&amp;"]"),MATCH("mm",T_Units[Metric],0))</f>
        <v>mm</v>
      </c>
      <c r="F50" s="487"/>
      <c r="G50" s="471"/>
      <c r="I50" s="487"/>
      <c r="J50" s="471"/>
      <c r="L50" s="487"/>
      <c r="M50" s="471"/>
      <c r="O50" s="487"/>
      <c r="P50" s="471"/>
      <c r="R50" s="487"/>
      <c r="S50" s="471"/>
      <c r="X50" s="193" t="s">
        <v>338</v>
      </c>
      <c r="Y50" s="517" t="e">
        <f>((Control_Capacity+Booster_TMax)/((Tube_OD/2/1000)))/g</f>
        <v>#N/A</v>
      </c>
      <c r="Z50" s="223" t="s">
        <v>3</v>
      </c>
      <c r="AA50" t="s">
        <v>797</v>
      </c>
    </row>
    <row r="51" spans="2:30">
      <c r="B51" s="478" t="s">
        <v>1118</v>
      </c>
      <c r="C51" s="213" t="e">
        <f>Tube_Deflection1*IF(i_Units="Metric",1,INDEX(T_Units[Factor],MATCH("mm",T_Units[Metric],0)))</f>
        <v>#VALUE!</v>
      </c>
      <c r="D51" s="471" t="s">
        <v>12</v>
      </c>
      <c r="F51" s="487"/>
      <c r="G51" s="471"/>
      <c r="I51" s="486" t="e">
        <f>Tube_Deflection2*IF(i_Units="Metric",1,INDEX(T_Units[Factor],MATCH("mm",T_Units[Metric],0)))</f>
        <v>#VALUE!</v>
      </c>
      <c r="J51" s="471" t="s">
        <v>12</v>
      </c>
      <c r="L51" s="486" t="e">
        <f>Tube_Deflection3*IF(i_Units="Metric",1,INDEX(T_Units[Factor],MATCH("mm",T_Units[Metric],0)))</f>
        <v>#VALUE!</v>
      </c>
      <c r="M51" s="471" t="s">
        <v>12</v>
      </c>
      <c r="O51" s="486" t="e">
        <f>Tube_Deflection4*IF(i_Units="Metric",1,INDEX(T_Units[Factor],MATCH("mm",T_Units[Metric],0)))</f>
        <v>#VALUE!</v>
      </c>
      <c r="P51" s="471" t="s">
        <v>12</v>
      </c>
      <c r="R51" s="486" t="e">
        <f>Tube_Deflection5*IF(i_Units="Metric",1,INDEX(T_Units[Factor],MATCH("mm",T_Units[Metric],0)))</f>
        <v>#VALUE!</v>
      </c>
      <c r="S51" s="471" t="s">
        <v>12</v>
      </c>
      <c r="X51" s="84" t="s">
        <v>10</v>
      </c>
      <c r="Y51" s="90" t="e">
        <f>INDEX(Control_Lookup,MATCH(i_Control,Control_Description,0),MATCH("Gear Ratio",Control_Headers,0))</f>
        <v>#N/A</v>
      </c>
      <c r="Z51" s="85"/>
    </row>
    <row r="52" spans="2:30">
      <c r="B52" s="478" t="s">
        <v>457</v>
      </c>
      <c r="C52" s="494" t="str">
        <f>IFERROR(ROUND(Tube_Deflection1_Units,2)/i_width,"")</f>
        <v/>
      </c>
      <c r="D52" s="471"/>
      <c r="F52" s="493"/>
      <c r="G52" s="471"/>
      <c r="I52" s="493" t="str">
        <f>IFERROR(ROUND(Tube_Deflection2_Units,2)/i_width2,"")</f>
        <v/>
      </c>
      <c r="J52" s="471"/>
      <c r="L52" s="493" t="str">
        <f>IFERROR(ROUND(Tube_Deflection3_Units,2)/i_width3,"")</f>
        <v/>
      </c>
      <c r="M52" s="471"/>
      <c r="O52" s="493" t="str">
        <f>IFERROR(ROUND(Tube_Deflection4_Units,2)/i_width4,"")</f>
        <v/>
      </c>
      <c r="P52" s="471"/>
      <c r="R52" s="493" t="str" cm="1">
        <f t="array" ref="R52">IFERROR(ROUND(Tube_Deflection5_Units,2)/i_width5,"")</f>
        <v/>
      </c>
      <c r="S52" s="471"/>
      <c r="X52" s="84" t="s">
        <v>15</v>
      </c>
      <c r="Y52" s="86" t="e">
        <f>INDEX(Control_Lookup,MATCH(i_Control,Control_Description,0),MATCH("Friction",Control_Headers,0))</f>
        <v>#N/A</v>
      </c>
      <c r="Z52" s="85" t="s">
        <v>14</v>
      </c>
    </row>
    <row r="53" spans="2:30">
      <c r="B53" s="478"/>
      <c r="C53" s="1"/>
      <c r="D53" s="471"/>
      <c r="F53" s="487"/>
      <c r="G53" s="471"/>
      <c r="I53" s="487"/>
      <c r="J53" s="471"/>
      <c r="L53" s="487"/>
      <c r="M53" s="471"/>
      <c r="O53" s="487"/>
      <c r="P53" s="471"/>
      <c r="R53" s="487"/>
      <c r="S53" s="471"/>
      <c r="X53" s="13" t="s">
        <v>183</v>
      </c>
      <c r="Y53" s="86" t="e">
        <f>INDEX(Control_Lookup,MATCH(i_Control,Control_Description,0),MATCH("Control Type",Control_Headers,0))</f>
        <v>#N/A</v>
      </c>
      <c r="Z53" s="85"/>
    </row>
    <row r="54" spans="2:30">
      <c r="B54" s="478" t="s">
        <v>396</v>
      </c>
      <c r="C54" s="158" t="e">
        <f>((_xlfn.SINGLE(Tube_Rotations)+i_pwa)*Fabric_Thickness*2+Tube_OD)</f>
        <v>#VALUE!</v>
      </c>
      <c r="D54" s="471" t="s">
        <v>12</v>
      </c>
      <c r="F54" s="487"/>
      <c r="G54" s="471"/>
      <c r="I54" s="487"/>
      <c r="J54" s="471"/>
      <c r="L54" s="487"/>
      <c r="M54" s="471"/>
      <c r="O54" s="487"/>
      <c r="P54" s="471"/>
      <c r="R54" s="487"/>
      <c r="S54" s="471"/>
      <c r="X54" s="34" t="s">
        <v>465</v>
      </c>
      <c r="Y54" s="318" t="str">
        <f>IFERROR(INDEX(T_Controls[rpm],MATCH(i_Control,T_Controls[Description],0)),"")</f>
        <v/>
      </c>
      <c r="Z54" s="186" t="s">
        <v>252</v>
      </c>
    </row>
    <row r="55" spans="2:30" ht="15" thickBot="1">
      <c r="B55" s="478" t="s">
        <v>397</v>
      </c>
      <c r="C55" s="158" t="e" cm="1">
        <f t="array" ref="C55">o_RollDiameter+Tube_Deflection1*2</f>
        <v>#VALUE!</v>
      </c>
      <c r="D55" s="471" t="s">
        <v>12</v>
      </c>
      <c r="F55" s="487"/>
      <c r="G55" s="471"/>
      <c r="I55" s="487"/>
      <c r="J55" s="471"/>
      <c r="L55" s="487"/>
      <c r="M55" s="471"/>
      <c r="O55" s="487"/>
      <c r="P55" s="471"/>
      <c r="R55" s="487"/>
      <c r="S55" s="471"/>
      <c r="X55" s="16" t="s">
        <v>253</v>
      </c>
      <c r="Y55" s="230" t="str">
        <f>IFERROR(IF(i_MotorRPM&lt;&gt;"",i_MotorRPM,Control_RPM_Default),"")</f>
        <v/>
      </c>
      <c r="Z55" s="150" t="s">
        <v>252</v>
      </c>
      <c r="AD55" s="319"/>
    </row>
    <row r="56" spans="2:30" ht="15" thickBot="1">
      <c r="B56" s="478"/>
      <c r="C56" s="1"/>
      <c r="D56" s="471"/>
      <c r="F56" s="487"/>
      <c r="G56" s="471"/>
      <c r="I56" s="487"/>
      <c r="J56" s="471"/>
      <c r="L56" s="487"/>
      <c r="M56" s="471"/>
      <c r="O56" s="487"/>
      <c r="P56" s="471"/>
      <c r="R56" s="487"/>
      <c r="S56" s="471"/>
      <c r="Y56" s="103"/>
    </row>
    <row r="57" spans="2:30">
      <c r="B57" s="478"/>
      <c r="D57" s="471"/>
      <c r="F57" s="487"/>
      <c r="G57" s="471"/>
      <c r="I57" s="487"/>
      <c r="J57" s="471"/>
      <c r="L57" s="487"/>
      <c r="M57" s="471"/>
      <c r="O57" s="487"/>
      <c r="P57" s="471"/>
      <c r="R57" s="487"/>
      <c r="S57" s="471"/>
      <c r="X57" s="799" t="s">
        <v>180</v>
      </c>
      <c r="Y57" s="800"/>
      <c r="Z57" s="801"/>
    </row>
    <row r="58" spans="2:30" ht="15" thickBot="1">
      <c r="B58" s="485" t="s">
        <v>519</v>
      </c>
      <c r="C58" s="479" t="str">
        <f>IFERROR(IF(i_Fabric&lt;&gt;"",INDEX(T_Fabric[RollWidth_Metric],MATCH(i_Fabric,T_Fabric[Description],0))/1000,"-"),"")</f>
        <v>-</v>
      </c>
      <c r="D58" s="480" t="s">
        <v>0</v>
      </c>
      <c r="F58" s="490"/>
      <c r="G58" s="480"/>
      <c r="I58" s="490"/>
      <c r="J58" s="480"/>
      <c r="L58" s="490"/>
      <c r="M58" s="480"/>
      <c r="O58" s="490"/>
      <c r="P58" s="480"/>
      <c r="R58" s="490"/>
      <c r="S58" s="480"/>
      <c r="X58" s="806" t="e">
        <f>i_Control2</f>
        <v>#NAME?</v>
      </c>
      <c r="Y58" s="807"/>
      <c r="Z58" s="808"/>
    </row>
    <row r="59" spans="2:30" ht="15" thickTop="1">
      <c r="B59" s="153"/>
      <c r="X59" s="87" t="s">
        <v>48</v>
      </c>
      <c r="Y59" s="167" t="e">
        <f>INDEX(Control_Lookup,MATCH(i_Control2,Control_Description,0),MATCH("Diameter",Control_Headers,0))</f>
        <v>#NAME?</v>
      </c>
      <c r="Z59" s="89" t="s">
        <v>12</v>
      </c>
    </row>
    <row r="60" spans="2:30">
      <c r="B60" s="153"/>
      <c r="C60" s="1" t="s">
        <v>832</v>
      </c>
      <c r="X60" s="193" t="s">
        <v>156</v>
      </c>
      <c r="Y60" s="194" t="e">
        <f>INDEX(Control_Lookup,MATCH(i_Control2,Control_Description,0),MATCH("Holding Capacity",Control_Headers,0))</f>
        <v>#NAME?</v>
      </c>
      <c r="Z60" s="195" t="s">
        <v>14</v>
      </c>
    </row>
    <row r="61" spans="2:30">
      <c r="B61" s="149" t="s">
        <v>762</v>
      </c>
      <c r="C61" s="213" t="e">
        <f>N67</f>
        <v>#N/A</v>
      </c>
      <c r="D61" t="s">
        <v>14</v>
      </c>
      <c r="E61" t="s">
        <v>789</v>
      </c>
      <c r="F61" s="158"/>
      <c r="I61" s="158"/>
      <c r="J61" s="268" t="s">
        <v>1103</v>
      </c>
      <c r="X61" s="84" t="s">
        <v>10</v>
      </c>
      <c r="Y61" s="90" t="e">
        <f>INDEX(Control_Lookup,MATCH(i_Control2,Control_Description,0),MATCH("Gear Ratio",Control_Headers,0))</f>
        <v>#NAME?</v>
      </c>
      <c r="Z61" s="85"/>
    </row>
    <row r="62" spans="2:30">
      <c r="B62" s="149" t="s">
        <v>1121</v>
      </c>
      <c r="C62" s="213" t="e">
        <f>N69</f>
        <v>#N/A</v>
      </c>
      <c r="D62" t="s">
        <v>14</v>
      </c>
      <c r="J62" t="s">
        <v>1104</v>
      </c>
      <c r="X62" s="97" t="s">
        <v>15</v>
      </c>
      <c r="Y62" s="102" t="e">
        <f>INDEX(Control_Lookup,MATCH(i_Control2,Control_Description,0),MATCH("Friction",Control_Headers,0))</f>
        <v>#NAME?</v>
      </c>
      <c r="Z62" s="98" t="s">
        <v>14</v>
      </c>
    </row>
    <row r="63" spans="2:30">
      <c r="F63" s="156"/>
      <c r="I63" s="156"/>
      <c r="X63" s="197"/>
      <c r="Y63" s="198"/>
      <c r="Z63" s="199"/>
    </row>
    <row r="64" spans="2:30" ht="15" thickBot="1">
      <c r="B64" s="149" t="s">
        <v>763</v>
      </c>
      <c r="C64" s="491">
        <v>0.1</v>
      </c>
      <c r="X64" s="171"/>
      <c r="Y64" s="171"/>
      <c r="Z64" s="196"/>
    </row>
    <row r="65" spans="2:26">
      <c r="X65" s="799" t="s">
        <v>79</v>
      </c>
      <c r="Y65" s="800"/>
      <c r="Z65" s="801"/>
    </row>
    <row r="66" spans="2:26">
      <c r="B66" s="483" t="s">
        <v>775</v>
      </c>
      <c r="C66" s="397" t="str">
        <f>IFERROR(o_fabric_wb_T_Mass1+o_fabric_wb_T_Mass2+o_fabric_wb_T_Mass3+o_fabric_wb_T_Mass4+o_fabric_wb_T_Mass5,"")</f>
        <v/>
      </c>
      <c r="D66" t="s">
        <v>3</v>
      </c>
      <c r="G66" s="1"/>
      <c r="X66" s="806" t="str" cm="1">
        <f t="array" ref="X66">IF(i_Booster=0,"No Booster Selected",i_Booster)</f>
        <v>No Booster Selected</v>
      </c>
      <c r="Y66" s="807"/>
      <c r="Z66" s="808"/>
    </row>
    <row r="67" spans="2:26">
      <c r="K67" s="190" t="s">
        <v>14</v>
      </c>
      <c r="N67" s="158" t="e">
        <f>K68+(N69*(1+Link_FF))</f>
        <v>#N/A</v>
      </c>
      <c r="O67" t="s">
        <v>1115</v>
      </c>
      <c r="X67" s="87" t="s">
        <v>54</v>
      </c>
      <c r="Y67" s="151" t="str">
        <f>IFERROR(INDEX(Booster_Lookup,MATCH(i_Booster,Booster_Description,0),MATCH("Spring Rate",Booster_Headers,0)),"0.00001")</f>
        <v>0.00001</v>
      </c>
      <c r="Z67" s="89" t="s">
        <v>14</v>
      </c>
    </row>
    <row r="68" spans="2:26">
      <c r="K68" s="158" t="e">
        <f>o_tMax1</f>
        <v>#N/A</v>
      </c>
      <c r="L68" t="s">
        <v>1105</v>
      </c>
      <c r="N68" s="1"/>
      <c r="X68" s="84" t="s">
        <v>56</v>
      </c>
      <c r="Y68" s="101" t="str">
        <f>IFERROR(INDEX(Booster_Lookup,MATCH(i_Booster,Booster_Description,0),MATCH("Max Turns",Booster_Headers,0)),"0.00001")</f>
        <v>0.00001</v>
      </c>
      <c r="Z68" s="85"/>
    </row>
    <row r="69" spans="2:26" ht="15" thickBot="1">
      <c r="K69" s="158"/>
      <c r="M69" t="s">
        <v>1110</v>
      </c>
      <c r="N69" s="158" t="e">
        <f>K70+(N71*(1+Link_FF))</f>
        <v>#N/A</v>
      </c>
      <c r="X69" s="97" t="s">
        <v>57</v>
      </c>
      <c r="Y69" s="102" t="str">
        <f>IFERROR(INDEX(Booster_Lookup,MATCH(i_Booster,Booster_Description,0),MATCH("T_Max",Booster_Headers,0)),"0.00001")</f>
        <v>0.00001</v>
      </c>
      <c r="Z69" s="98" t="s">
        <v>14</v>
      </c>
    </row>
    <row r="70" spans="2:26" ht="15" thickBot="1">
      <c r="K70" s="158" t="e">
        <f>o_tMax2</f>
        <v>#N/A</v>
      </c>
      <c r="L70" t="s">
        <v>1106</v>
      </c>
      <c r="N70" s="158"/>
      <c r="X70" s="99"/>
      <c r="Y70" s="99"/>
      <c r="Z70" s="100"/>
    </row>
    <row r="71" spans="2:26">
      <c r="B71" s="190" t="s">
        <v>764</v>
      </c>
      <c r="C71" s="26" t="str">
        <f>IF(i_width2+i_width3&gt;0,"Yes","No")</f>
        <v>No</v>
      </c>
      <c r="K71" s="158"/>
      <c r="M71" t="s">
        <v>1111</v>
      </c>
      <c r="N71" s="158" t="e">
        <f>K72+(N73*(1+Link_FF))</f>
        <v>#N/A</v>
      </c>
      <c r="X71" s="799" t="s">
        <v>91</v>
      </c>
      <c r="Y71" s="800"/>
      <c r="Z71" s="801"/>
    </row>
    <row r="72" spans="2:26">
      <c r="K72" s="158" t="e">
        <f>o_tMax3</f>
        <v>#N/A</v>
      </c>
      <c r="L72" t="s">
        <v>1107</v>
      </c>
      <c r="N72" s="158"/>
      <c r="X72" s="806" t="str">
        <f>IF(i_Ballast=0,"No Ballast Selected",i_Ballast)</f>
        <v>No Ballast Selected</v>
      </c>
      <c r="Y72" s="807"/>
      <c r="Z72" s="808"/>
    </row>
    <row r="73" spans="2:26">
      <c r="B73" t="s">
        <v>791</v>
      </c>
      <c r="C73" s="1" t="str">
        <f>IFERROR(IF(MATCH(i_Fabric,T_Fabric[Description],0)&gt;0,"Yes","No"),"No")</f>
        <v>No</v>
      </c>
      <c r="K73" s="158"/>
      <c r="M73" t="s">
        <v>1112</v>
      </c>
      <c r="N73" s="158" t="e">
        <f>K74+(N75*(1+Link_FF))</f>
        <v>#N/A</v>
      </c>
      <c r="X73" s="9" t="s">
        <v>71</v>
      </c>
      <c r="Y73" s="134">
        <f>IFERROR(INDEX(T_Ballast[Mass/m (kg)],MATCH(i_Ballast,T_Ballast[Description],0)),0)</f>
        <v>0</v>
      </c>
      <c r="Z73" s="130" t="s">
        <v>8</v>
      </c>
    </row>
    <row r="74" spans="2:26">
      <c r="K74" s="158" t="e">
        <f>o_tMax4</f>
        <v>#N/A</v>
      </c>
      <c r="L74" t="s">
        <v>1108</v>
      </c>
      <c r="N74" s="158"/>
      <c r="X74" s="131" t="s">
        <v>2</v>
      </c>
      <c r="Y74" s="102">
        <f>IFERROR(Y73*Design_Width1,"")</f>
        <v>0</v>
      </c>
      <c r="Z74" s="132" t="s">
        <v>3</v>
      </c>
    </row>
    <row r="75" spans="2:26">
      <c r="B75" t="s">
        <v>810</v>
      </c>
      <c r="C75" s="1" t="e">
        <f>IF(o_tMax1&gt;Control_Capacity,"Yes","No")</f>
        <v>#N/A</v>
      </c>
      <c r="K75" s="158"/>
      <c r="M75" t="s">
        <v>1113</v>
      </c>
      <c r="N75" s="158" t="e">
        <f>K76</f>
        <v>#N/A</v>
      </c>
      <c r="X75" s="83"/>
      <c r="Y75" s="83"/>
    </row>
    <row r="76" spans="2:26" ht="15" thickBot="1">
      <c r="K76" s="158" t="e">
        <f>o_tMax5</f>
        <v>#N/A</v>
      </c>
      <c r="L76" t="s">
        <v>1109</v>
      </c>
      <c r="X76" s="140"/>
      <c r="Y76" s="83"/>
    </row>
    <row r="77" spans="2:26">
      <c r="K77" s="1"/>
      <c r="X77" s="799" t="s">
        <v>130</v>
      </c>
      <c r="Y77" s="800"/>
      <c r="Z77" s="801"/>
    </row>
    <row r="78" spans="2:26">
      <c r="X78" s="806"/>
      <c r="Y78" s="807"/>
      <c r="Z78" s="808"/>
    </row>
    <row r="79" spans="2:26">
      <c r="X79" s="9" t="s">
        <v>131</v>
      </c>
      <c r="Y79" s="275">
        <v>0.3</v>
      </c>
      <c r="Z79" s="130"/>
    </row>
    <row r="80" spans="2:26">
      <c r="X80" s="13"/>
      <c r="Y80" s="86"/>
      <c r="Z80" s="95"/>
    </row>
    <row r="81" spans="24:26">
      <c r="X81" s="13"/>
      <c r="Y81" s="86"/>
      <c r="Z81" s="95"/>
    </row>
    <row r="82" spans="24:26">
      <c r="X82" s="13" t="s">
        <v>137</v>
      </c>
      <c r="Y82" s="86"/>
      <c r="Z82" s="95" t="s">
        <v>12</v>
      </c>
    </row>
    <row r="83" spans="24:26">
      <c r="X83" s="131"/>
      <c r="Y83" s="102"/>
      <c r="Z83" s="132"/>
    </row>
    <row r="85" spans="24:26" ht="15" thickBot="1">
      <c r="X85" s="137"/>
    </row>
    <row r="86" spans="24:26">
      <c r="X86" s="799" t="s">
        <v>309</v>
      </c>
      <c r="Y86" s="800"/>
      <c r="Z86" s="801"/>
    </row>
    <row r="87" spans="24:26">
      <c r="X87" s="806" t="str">
        <f>IF(i_bracket=0,"No Bracket Selected",i_bracket)</f>
        <v>No Bracket Selected</v>
      </c>
      <c r="Y87" s="807"/>
      <c r="Z87" s="808"/>
    </row>
    <row r="88" spans="24:26">
      <c r="X88" s="9" t="s">
        <v>114</v>
      </c>
      <c r="Y88" s="263" t="str">
        <f>IFERROR(INDEX(T_Brackets[Max Roll Diameter],MATCH(i_bracket,T_Brackets[Description],0)),"")</f>
        <v/>
      </c>
      <c r="Z88" s="130" t="s">
        <v>12</v>
      </c>
    </row>
    <row r="89" spans="24:26">
      <c r="X89" s="131" t="s">
        <v>359</v>
      </c>
      <c r="Y89" s="102" t="e">
        <f>(o_MaxRollDia*IF(i_Units="Metric",1,INDEX(T_Units[Factor],MATCH("mm",T_Units[Metric],0))))</f>
        <v>#VALUE!</v>
      </c>
      <c r="Z89" s="132" t="s">
        <v>456</v>
      </c>
    </row>
    <row r="90" spans="24:26">
      <c r="X90" s="141"/>
      <c r="Y90" s="140"/>
      <c r="Z90" s="141"/>
    </row>
    <row r="91" spans="24:26">
      <c r="X91" s="141"/>
      <c r="Y91" s="140"/>
      <c r="Z91" s="141"/>
    </row>
    <row r="92" spans="24:26">
      <c r="X92" s="141"/>
      <c r="Y92" s="140"/>
      <c r="Z92" s="141"/>
    </row>
    <row r="93" spans="24:26">
      <c r="X93" s="141"/>
      <c r="Y93" s="140"/>
      <c r="Z93" s="141"/>
    </row>
    <row r="94" spans="24:26">
      <c r="X94" s="141"/>
      <c r="Y94" s="140"/>
      <c r="Z94" s="141"/>
    </row>
    <row r="95" spans="24:26">
      <c r="X95" s="141"/>
      <c r="Y95" s="140"/>
      <c r="Z95" s="141"/>
    </row>
    <row r="96" spans="24:26">
      <c r="X96" s="141"/>
      <c r="Y96" s="140"/>
      <c r="Z96" s="141"/>
    </row>
    <row r="97" spans="24:26">
      <c r="X97" s="141"/>
      <c r="Y97" s="809"/>
      <c r="Z97" s="809"/>
    </row>
    <row r="98" spans="24:26">
      <c r="X98" s="145"/>
      <c r="Y98" s="1"/>
      <c r="Z98" s="158"/>
    </row>
    <row r="99" spans="24:26">
      <c r="X99" s="145"/>
      <c r="Y99" s="1"/>
      <c r="Z99" s="103"/>
    </row>
    <row r="100" spans="24:26">
      <c r="X100" s="145"/>
      <c r="Y100" s="1"/>
      <c r="Z100" s="103"/>
    </row>
    <row r="101" spans="24:26">
      <c r="X101" s="145"/>
      <c r="Y101" s="1"/>
      <c r="Z101" s="103"/>
    </row>
    <row r="102" spans="24:26">
      <c r="X102" s="145"/>
      <c r="Y102" s="1"/>
      <c r="Z102" s="103"/>
    </row>
    <row r="103" spans="24:26">
      <c r="X103" s="83"/>
      <c r="Y103" s="140"/>
      <c r="Z103" s="141"/>
    </row>
    <row r="104" spans="24:26">
      <c r="X104" s="141"/>
      <c r="Y104" s="140"/>
      <c r="Z104" s="141"/>
    </row>
    <row r="105" spans="24:26">
      <c r="X105" s="83"/>
      <c r="Y105" s="140"/>
      <c r="Z105" s="145"/>
    </row>
    <row r="106" spans="24:26">
      <c r="X106" s="83"/>
      <c r="Y106" s="140"/>
      <c r="Z106" s="141"/>
    </row>
    <row r="107" spans="24:26">
      <c r="X107" s="140"/>
      <c r="Y107" s="140"/>
      <c r="Z107" s="142"/>
    </row>
    <row r="108" spans="24:26">
      <c r="X108" s="141"/>
      <c r="Y108" s="140"/>
      <c r="Z108" s="142"/>
    </row>
    <row r="109" spans="24:26">
      <c r="X109" s="141"/>
      <c r="Y109" s="140"/>
      <c r="Z109" s="144"/>
    </row>
    <row r="110" spans="24:26">
      <c r="X110" s="141"/>
      <c r="Y110" s="140"/>
      <c r="Z110" s="144"/>
    </row>
    <row r="111" spans="24:26">
      <c r="X111" s="83"/>
      <c r="Y111" s="83"/>
    </row>
    <row r="112" spans="24:26">
      <c r="X112" s="83"/>
      <c r="Y112" s="143"/>
      <c r="Z112" s="141"/>
    </row>
    <row r="113" spans="24:26">
      <c r="X113" s="145"/>
      <c r="Y113" s="140"/>
      <c r="Z113" s="141"/>
    </row>
    <row r="114" spans="24:26">
      <c r="X114" s="141"/>
      <c r="Y114" s="140"/>
      <c r="Z114" s="142"/>
    </row>
    <row r="115" spans="24:26">
      <c r="X115" s="141"/>
      <c r="Y115" s="143"/>
      <c r="Z115" s="142"/>
    </row>
    <row r="116" spans="24:26">
      <c r="X116" s="83"/>
      <c r="Y116" s="83"/>
    </row>
    <row r="117" spans="24:26">
      <c r="X117"/>
    </row>
  </sheetData>
  <mergeCells count="29">
    <mergeCell ref="X57:Z57"/>
    <mergeCell ref="X58:Z58"/>
    <mergeCell ref="Y97:Z97"/>
    <mergeCell ref="X78:Z78"/>
    <mergeCell ref="X77:Z77"/>
    <mergeCell ref="X72:Z72"/>
    <mergeCell ref="X71:Z71"/>
    <mergeCell ref="X65:Z65"/>
    <mergeCell ref="X66:Z66"/>
    <mergeCell ref="X86:Z86"/>
    <mergeCell ref="X87:Z87"/>
    <mergeCell ref="X26:Z26"/>
    <mergeCell ref="X27:Z27"/>
    <mergeCell ref="X44:Z44"/>
    <mergeCell ref="X45:Z45"/>
    <mergeCell ref="X36:Y36"/>
    <mergeCell ref="X37:Z37"/>
    <mergeCell ref="X17:Z17"/>
    <mergeCell ref="B3:D3"/>
    <mergeCell ref="X5:Z5"/>
    <mergeCell ref="X6:Z6"/>
    <mergeCell ref="X7:Z7"/>
    <mergeCell ref="X16:Z16"/>
    <mergeCell ref="B12:D12"/>
    <mergeCell ref="I12:J12"/>
    <mergeCell ref="L12:M12"/>
    <mergeCell ref="F12:G12"/>
    <mergeCell ref="O12:P12"/>
    <mergeCell ref="R12:S12"/>
  </mergeCells>
  <pageMargins left="0.7" right="0.7" top="0.75" bottom="0.75" header="0.3" footer="0.3"/>
  <pageSetup paperSize="9" orientation="portrait" r:id="rId1"/>
  <legacy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E100"/>
  <sheetViews>
    <sheetView showGridLines="0" showRowColHeaders="0" showRuler="0" workbookViewId="0">
      <selection activeCell="P6" sqref="P6"/>
    </sheetView>
  </sheetViews>
  <sheetFormatPr defaultColWidth="9.1796875" defaultRowHeight="14.5"/>
  <cols>
    <col min="1" max="1" width="2.453125" style="45" customWidth="1"/>
    <col min="2" max="2" width="4.453125" style="45" customWidth="1"/>
    <col min="3" max="3" width="12.54296875" style="44" customWidth="1"/>
    <col min="4" max="4" width="11.54296875" style="45" customWidth="1"/>
    <col min="5" max="5" width="1.54296875" style="45" customWidth="1"/>
    <col min="6" max="6" width="12.54296875" style="45" customWidth="1"/>
    <col min="7" max="7" width="10.453125" style="120" customWidth="1"/>
    <col min="8" max="8" width="14.54296875" style="45" customWidth="1"/>
    <col min="9" max="9" width="13.453125" style="45" bestFit="1" customWidth="1"/>
    <col min="10" max="10" width="1.54296875" style="45" customWidth="1"/>
    <col min="11" max="11" width="12.54296875" style="45" customWidth="1"/>
    <col min="12" max="12" width="10.453125" style="120" customWidth="1"/>
    <col min="13" max="13" width="13" style="45" customWidth="1"/>
    <col min="14" max="14" width="12.1796875" style="45" customWidth="1"/>
    <col min="15" max="16" width="14.81640625" style="45" customWidth="1"/>
    <col min="17" max="17" width="12" style="45" customWidth="1"/>
    <col min="18" max="18" width="14" style="45" customWidth="1"/>
    <col min="19" max="19" width="1.54296875" style="45" customWidth="1"/>
    <col min="20" max="20" width="3" style="45" customWidth="1"/>
    <col min="21" max="21" width="12.453125" style="45" customWidth="1"/>
    <col min="22" max="23" width="14.81640625" style="45" customWidth="1"/>
    <col min="24" max="25" width="12" style="45" customWidth="1"/>
    <col min="26" max="26" width="5.81640625" style="45" customWidth="1"/>
    <col min="27" max="27" width="4" style="45" customWidth="1"/>
    <col min="28" max="28" width="27.453125" style="45" bestFit="1" customWidth="1"/>
    <col min="29" max="29" width="13.54296875" style="45" customWidth="1"/>
    <col min="30" max="30" width="10.453125" style="45" bestFit="1" customWidth="1"/>
    <col min="31" max="31" width="18.453125" style="45" customWidth="1"/>
    <col min="32" max="16384" width="9.1796875" style="45"/>
  </cols>
  <sheetData>
    <row r="1" spans="2:31" ht="15" thickBot="1">
      <c r="U1" s="112"/>
      <c r="V1" s="112"/>
      <c r="AB1" s="190" t="s">
        <v>852</v>
      </c>
    </row>
    <row r="2" spans="2:31" ht="29">
      <c r="C2" s="47" t="s">
        <v>66</v>
      </c>
      <c r="F2" t="s">
        <v>863</v>
      </c>
      <c r="G2" s="555"/>
      <c r="H2" s="556"/>
      <c r="I2" s="556"/>
      <c r="L2" s="156" t="s">
        <v>135</v>
      </c>
      <c r="O2" s="153" t="s">
        <v>134</v>
      </c>
      <c r="P2" s="154">
        <v>0</v>
      </c>
      <c r="W2" s="272" t="e">
        <f ca="1">((MAX(W11:W69)-MIN(W11:W69))/_xlfn.SINGLE(Tube_Rotations))</f>
        <v>#VALUE!</v>
      </c>
      <c r="AB2" t="s">
        <v>963</v>
      </c>
      <c r="AC2" s="592">
        <f ca="1">MIN(O11:O100)</f>
        <v>0</v>
      </c>
      <c r="AE2" s="591">
        <v>0.12007922848505737</v>
      </c>
    </row>
    <row r="3" spans="2:31" ht="19" thickBot="1">
      <c r="C3" s="48">
        <v>0.5</v>
      </c>
      <c r="F3" s="1" t="s">
        <v>864</v>
      </c>
      <c r="G3" s="156" t="s">
        <v>865</v>
      </c>
      <c r="H3" t="s">
        <v>866</v>
      </c>
      <c r="I3" t="s">
        <v>867</v>
      </c>
      <c r="L3" s="157">
        <v>2</v>
      </c>
      <c r="U3" t="s">
        <v>392</v>
      </c>
      <c r="AB3" t="s">
        <v>962</v>
      </c>
      <c r="AC3" s="592">
        <f ca="1">MAX(O11:O100)</f>
        <v>0</v>
      </c>
      <c r="AE3" s="591">
        <v>0.36566644254000003</v>
      </c>
    </row>
    <row r="4" spans="2:31">
      <c r="F4" s="556"/>
      <c r="G4" s="556" t="e" cm="1">
        <f t="array" aca="1" ref="G4" ca="1">LINEST(OFFSET(O11,0,0,$B$11),OFFSET(C11,0,0,$B$11)^{1,2})</f>
        <v>#VALUE!</v>
      </c>
      <c r="H4" s="556"/>
      <c r="I4" s="556"/>
      <c r="K4" s="46"/>
      <c r="L4" s="156" t="s">
        <v>136</v>
      </c>
      <c r="P4" s="45" t="s">
        <v>65</v>
      </c>
      <c r="AB4" t="s">
        <v>964</v>
      </c>
      <c r="AC4" s="120" cm="1">
        <f t="array" ref="AC4">INDEX(C11:C100,B11)</f>
        <v>0</v>
      </c>
    </row>
    <row r="5" spans="2:31">
      <c r="C5" s="45"/>
      <c r="R5" t="s">
        <v>82</v>
      </c>
      <c r="U5" t="s">
        <v>391</v>
      </c>
      <c r="AB5" t="s">
        <v>868</v>
      </c>
      <c r="AC5" s="45" t="e">
        <f ca="1">(AC3-AC2)/AC4</f>
        <v>#DIV/0!</v>
      </c>
    </row>
    <row r="6" spans="2:31">
      <c r="H6" t="s">
        <v>1085</v>
      </c>
      <c r="O6" s="153" t="s">
        <v>186</v>
      </c>
      <c r="P6" s="45" t="e">
        <f>Control_D</f>
        <v>#N/A</v>
      </c>
      <c r="Q6" t="s">
        <v>12</v>
      </c>
      <c r="R6" s="46">
        <f>Booster_Preturns</f>
        <v>0</v>
      </c>
      <c r="U6" s="120"/>
      <c r="W6"/>
      <c r="AB6" t="s">
        <v>960</v>
      </c>
      <c r="AC6" s="589">
        <f ca="1">_SpringData_L2!E3</f>
        <v>0</v>
      </c>
    </row>
    <row r="7" spans="2:31">
      <c r="G7" s="477" t="s">
        <v>1086</v>
      </c>
      <c r="H7" s="591" t="str">
        <f>H11</f>
        <v/>
      </c>
      <c r="I7" s="591"/>
      <c r="P7" s="110" t="s">
        <v>72</v>
      </c>
      <c r="U7" s="110"/>
      <c r="V7" s="110"/>
      <c r="W7" s="110" t="s">
        <v>72</v>
      </c>
      <c r="AB7" t="s">
        <v>961</v>
      </c>
      <c r="AC7" s="590">
        <f ca="1">o_BoosterPreTurn</f>
        <v>0</v>
      </c>
    </row>
    <row r="8" spans="2:31" s="74" customFormat="1" ht="15" thickBot="1">
      <c r="C8" s="72"/>
      <c r="D8" s="72"/>
      <c r="E8" s="73"/>
      <c r="F8" s="49" t="e">
        <f>o_RollDiameter</f>
        <v>#VALUE!</v>
      </c>
      <c r="G8" s="649" t="s">
        <v>1087</v>
      </c>
      <c r="H8" s="72">
        <f>MIN(H11:H100)</f>
        <v>0</v>
      </c>
      <c r="I8" s="49"/>
      <c r="J8" s="49"/>
      <c r="K8" s="49"/>
      <c r="L8" s="72"/>
      <c r="M8" s="49"/>
      <c r="N8" s="49"/>
      <c r="O8" s="49"/>
      <c r="P8" s="49" t="e">
        <f>Control_Ratio</f>
        <v>#N/A</v>
      </c>
      <c r="Q8" s="49"/>
      <c r="R8" s="49"/>
      <c r="S8" s="73"/>
      <c r="T8" s="73"/>
      <c r="W8" s="49" t="e">
        <f>Control_Ratio</f>
        <v>#N/A</v>
      </c>
      <c r="X8" s="49"/>
      <c r="Y8" s="49"/>
      <c r="Z8" s="73"/>
      <c r="AA8" s="49"/>
    </row>
    <row r="9" spans="2:31" s="50" customFormat="1" ht="47.25" customHeight="1" thickBot="1">
      <c r="C9" s="810" t="s">
        <v>49</v>
      </c>
      <c r="D9" s="811"/>
      <c r="E9" s="78"/>
      <c r="F9" s="813"/>
      <c r="G9" s="814"/>
      <c r="H9" s="815"/>
      <c r="I9" s="78"/>
      <c r="J9" s="80"/>
      <c r="K9" s="813" t="s">
        <v>22</v>
      </c>
      <c r="L9" s="814"/>
      <c r="M9" s="815"/>
      <c r="N9" s="80"/>
      <c r="O9" s="812" t="s">
        <v>73</v>
      </c>
      <c r="P9" s="812"/>
      <c r="Q9" s="812"/>
      <c r="R9" s="812"/>
      <c r="S9" s="79"/>
      <c r="T9" s="80"/>
      <c r="U9" s="813" t="s">
        <v>96</v>
      </c>
      <c r="V9" s="814"/>
      <c r="W9" s="814"/>
      <c r="X9" s="814"/>
      <c r="Y9" s="815"/>
      <c r="Z9" s="80"/>
      <c r="AA9" s="81"/>
    </row>
    <row r="10" spans="2:31" ht="58.5" thickBot="1">
      <c r="C10" s="105" t="s">
        <v>50</v>
      </c>
      <c r="D10" s="106" t="s">
        <v>78</v>
      </c>
      <c r="E10" s="51"/>
      <c r="F10" s="52" t="s">
        <v>70</v>
      </c>
      <c r="G10" s="121" t="s">
        <v>80</v>
      </c>
      <c r="H10" s="109" t="s">
        <v>81</v>
      </c>
      <c r="I10" s="51"/>
      <c r="J10" s="50"/>
      <c r="K10" s="152" t="s">
        <v>133</v>
      </c>
      <c r="L10" s="121" t="s">
        <v>132</v>
      </c>
      <c r="M10" s="109"/>
      <c r="N10" s="50"/>
      <c r="O10" s="123" t="s">
        <v>95</v>
      </c>
      <c r="P10" s="121" t="s">
        <v>89</v>
      </c>
      <c r="Q10" s="53" t="s">
        <v>68</v>
      </c>
      <c r="R10" s="54" t="s">
        <v>69</v>
      </c>
      <c r="S10" s="76"/>
      <c r="T10" s="113"/>
      <c r="U10" s="124" t="s">
        <v>94</v>
      </c>
      <c r="V10" s="119" t="s">
        <v>95</v>
      </c>
      <c r="W10" s="118" t="s">
        <v>93</v>
      </c>
      <c r="X10" s="53" t="s">
        <v>68</v>
      </c>
      <c r="Y10" s="155" t="s">
        <v>69</v>
      </c>
      <c r="Z10" s="50"/>
      <c r="AA10" s="55"/>
      <c r="AB10" s="587" t="s">
        <v>959</v>
      </c>
    </row>
    <row r="11" spans="2:31">
      <c r="B11" s="45" cm="1">
        <f t="array" ref="B11">SUMPRODUCT(--NOT(ISERROR(C11:C100)))</f>
        <v>1</v>
      </c>
      <c r="C11" s="56">
        <v>0</v>
      </c>
      <c r="D11" s="107" t="str">
        <f t="shared" ref="D11:D42" ca="1" si="0">IFERROR(IF($C11="","",(Design_Drop-((PI()/1000)*((_xlfn.SINGLE(Tube_Rotations)-_xlfn.SINGLE(LiveData_TT_Rotations))*(Tube_OD+i_pwa*2*Fabric_Thickness)+Fabric_Thickness*(_xlfn.SINGLE(Tube_Rotations)-_xlfn.SINGLE(LiveData_TT_Rotations))^2)))),"")</f>
        <v/>
      </c>
      <c r="E11" s="57"/>
      <c r="F11" s="611" t="str">
        <f ca="1">IFERROR(IF($C11="","",g*(wb_Ballast_UnitMass*Design_Width_Total+Fabric_UnitMass_Total*LiveData_Lift_Height)),"")</f>
        <v/>
      </c>
      <c r="G11" s="58" t="str">
        <f>IFERROR(IF($C11="","",H11*2),"")</f>
        <v/>
      </c>
      <c r="H11" s="60" t="str" cm="1">
        <f t="array" ref="H11">IFERROR(IF($C11="","",(o_RollDiameter*0.5)-Fabric_Thickness*C11),"")</f>
        <v/>
      </c>
      <c r="I11" s="57"/>
      <c r="K11" s="58" t="str">
        <f t="shared" ref="K11:K42" ca="1" si="1">IFERROR(Friction_Clutch_Coeff*F11,"")</f>
        <v/>
      </c>
      <c r="L11" s="58" t="str">
        <f t="shared" ref="L11:L42" ca="1" si="2">IFERROR(K11*(Friction_Clutch_Dia/2/1000)*Friction_Multiplier,"")</f>
        <v/>
      </c>
      <c r="M11" s="60"/>
      <c r="O11" s="607" t="str">
        <f t="shared" ref="O11:O42" ca="1" si="3">IFERROR(IF($C11="","",F11*H11/1000),"")</f>
        <v/>
      </c>
      <c r="P11" s="111" t="str">
        <f ca="1">IFERROR(IF($C11="","",(O11/$P$8)+Control_Friction+IF(Friction=1,L11,0)),"")</f>
        <v/>
      </c>
      <c r="Q11" s="58" t="str">
        <f t="shared" ref="Q11:Q42" ca="1" si="4">IFERROR(IF($C11="","",(P11/((Control_D/1000)/2))/9.81),"")</f>
        <v/>
      </c>
      <c r="R11" s="59" t="str">
        <f t="shared" ref="R11:R42" si="5">IFERROR(IF($C11="","",(Control_Friction/(Control_D/2/1000))/9.81),"")</f>
        <v/>
      </c>
      <c r="S11" s="77"/>
      <c r="T11" s="44"/>
      <c r="U11" s="161">
        <f t="shared" ref="U11:U42" ca="1" si="6">IFERROR((Booster_k*(Booster_Preturns+LiveData_TT_Rotations)),"")</f>
        <v>0</v>
      </c>
      <c r="V11" s="159" t="str">
        <f t="shared" ref="V11:V42" ca="1" si="7">IFERROR(O11-U11,"")</f>
        <v/>
      </c>
      <c r="W11" s="111" t="str">
        <f t="shared" ref="W11:W42" ca="1" si="8">IFERROR(IF($C11="","",IF(V11&lt;0,Control_Friction+IF(Friction=1,L11,0),(V11/Control_Ratio)+Control_Friction+IF(Friction=1,L11,0))),"")</f>
        <v/>
      </c>
      <c r="X11" s="58" t="str">
        <f t="shared" ref="X11:X42" ca="1" si="9">IFERROR(IF($C11="","",(W11/((Control_D/1000)/2))/9.81),"")</f>
        <v/>
      </c>
      <c r="Y11" s="68" t="str">
        <f t="shared" ref="Y11:Y42" ca="1" si="10">IFERROR((IF(U11-O11&lt;0,Control_Friction,((U11-O11)+Control_Friction))/(Control_D/1000/2))/9.81,"")</f>
        <v/>
      </c>
      <c r="AA11" s="44"/>
      <c r="AB11" s="588">
        <f ca="1">IFERROR($AC$6*($AC$7+C11),"-")</f>
        <v>0</v>
      </c>
    </row>
    <row r="12" spans="2:31">
      <c r="C12" s="61" t="e">
        <f t="shared" ref="C12:C43" si="11">_xlfn.SINGLE(IF(C11&lt;_xlfn.SINGLE(Tube_Rotations),IF(C11+LiveData_Increment&gt;_xlfn.SINGLE(Tube_Rotations),Tube_Rotations,C11+LiveData_Increment),#N/A))</f>
        <v>#VALUE!</v>
      </c>
      <c r="D12" s="108" t="str">
        <f t="shared" si="0"/>
        <v/>
      </c>
      <c r="E12" s="57"/>
      <c r="F12" s="612" t="str">
        <f t="shared" ref="F12:F42" si="12">IFERROR(IF($C12="","",g*(wb_Ballast_UnitMass*Design_Width_Total+Fabric_UnitMass_Total*LiveData_Lift_Height)),"")</f>
        <v/>
      </c>
      <c r="G12" s="65" t="str">
        <f t="shared" ref="G12:G75" si="13">IFERROR(IF($C12="","",H12*2),"")</f>
        <v/>
      </c>
      <c r="H12" s="68" t="str" cm="1">
        <f t="array" ref="H12">IFERROR(IF($C12="","",(o_RollDiameter*0.5)-Fabric_Thickness*C12),"")</f>
        <v/>
      </c>
      <c r="I12" s="57"/>
      <c r="K12" s="62" t="str">
        <f t="shared" si="1"/>
        <v/>
      </c>
      <c r="L12" s="65" t="str">
        <f t="shared" si="2"/>
        <v/>
      </c>
      <c r="M12" s="68"/>
      <c r="O12" s="608" t="str">
        <f t="shared" si="3"/>
        <v/>
      </c>
      <c r="P12" s="62" t="str">
        <f t="shared" ref="P12:P42" si="14">IFERROR(IF($C12="","",(O12/$P$8)+Control_Friction+IF(Friction=1,L12,0)),"")</f>
        <v/>
      </c>
      <c r="Q12" s="62" t="str">
        <f t="shared" si="4"/>
        <v/>
      </c>
      <c r="R12" s="63" t="str">
        <f t="shared" si="5"/>
        <v/>
      </c>
      <c r="S12" s="77"/>
      <c r="T12" s="44"/>
      <c r="U12" s="162" t="str">
        <f t="shared" ca="1" si="6"/>
        <v/>
      </c>
      <c r="V12" s="160" t="str">
        <f t="shared" ca="1" si="7"/>
        <v/>
      </c>
      <c r="W12" s="62" t="str">
        <f t="shared" si="8"/>
        <v/>
      </c>
      <c r="X12" s="65" t="str">
        <f t="shared" si="9"/>
        <v/>
      </c>
      <c r="Y12" s="68" t="str">
        <f t="shared" ca="1" si="10"/>
        <v/>
      </c>
      <c r="AA12" s="44"/>
      <c r="AB12" s="588" t="str">
        <f t="shared" ref="AB12:AB75" ca="1" si="15">IFERROR($AC$6*($AC$7+C12),"-")</f>
        <v>-</v>
      </c>
      <c r="AD12" s="165"/>
    </row>
    <row r="13" spans="2:31">
      <c r="C13" s="61" t="e">
        <f t="shared" si="11"/>
        <v>#VALUE!</v>
      </c>
      <c r="D13" s="108" t="str">
        <f t="shared" si="0"/>
        <v/>
      </c>
      <c r="E13" s="57"/>
      <c r="F13" s="613" t="str">
        <f t="shared" si="12"/>
        <v/>
      </c>
      <c r="G13" s="65" t="str">
        <f t="shared" si="13"/>
        <v/>
      </c>
      <c r="H13" s="68" t="str" cm="1">
        <f t="array" ref="H13">IFERROR(IF($C13="","",(o_RollDiameter*0.5)-Fabric_Thickness*C13),"")</f>
        <v/>
      </c>
      <c r="I13" s="57"/>
      <c r="K13" s="65" t="str">
        <f t="shared" si="1"/>
        <v/>
      </c>
      <c r="L13" s="65" t="str">
        <f t="shared" si="2"/>
        <v/>
      </c>
      <c r="M13" s="68"/>
      <c r="O13" s="609" t="str">
        <f t="shared" si="3"/>
        <v/>
      </c>
      <c r="P13" s="62" t="str">
        <f t="shared" si="14"/>
        <v/>
      </c>
      <c r="Q13" s="65" t="str">
        <f t="shared" si="4"/>
        <v/>
      </c>
      <c r="R13" s="66" t="str">
        <f t="shared" si="5"/>
        <v/>
      </c>
      <c r="S13" s="77"/>
      <c r="T13" s="44"/>
      <c r="U13" s="162" t="str">
        <f t="shared" ca="1" si="6"/>
        <v/>
      </c>
      <c r="V13" s="160" t="str">
        <f t="shared" ca="1" si="7"/>
        <v/>
      </c>
      <c r="W13" s="62" t="str">
        <f t="shared" si="8"/>
        <v/>
      </c>
      <c r="X13" s="65" t="str">
        <f t="shared" si="9"/>
        <v/>
      </c>
      <c r="Y13" s="68" t="str">
        <f t="shared" ca="1" si="10"/>
        <v/>
      </c>
      <c r="AA13" s="44"/>
      <c r="AB13" s="588" t="str">
        <f t="shared" ca="1" si="15"/>
        <v>-</v>
      </c>
      <c r="AD13" s="165"/>
    </row>
    <row r="14" spans="2:31">
      <c r="C14" s="61" t="e">
        <f t="shared" si="11"/>
        <v>#VALUE!</v>
      </c>
      <c r="D14" s="108" t="str">
        <f t="shared" si="0"/>
        <v/>
      </c>
      <c r="E14" s="57"/>
      <c r="F14" s="612" t="str">
        <f t="shared" si="12"/>
        <v/>
      </c>
      <c r="G14" s="65" t="str">
        <f t="shared" si="13"/>
        <v/>
      </c>
      <c r="H14" s="68" t="str" cm="1">
        <f t="array" ref="H14">IFERROR(IF($C14="","",(o_RollDiameter*0.5)-Fabric_Thickness*C14),"")</f>
        <v/>
      </c>
      <c r="I14" s="57"/>
      <c r="K14" s="62" t="str">
        <f t="shared" si="1"/>
        <v/>
      </c>
      <c r="L14" s="65" t="str">
        <f t="shared" si="2"/>
        <v/>
      </c>
      <c r="M14" s="68"/>
      <c r="O14" s="608" t="str">
        <f t="shared" si="3"/>
        <v/>
      </c>
      <c r="P14" s="62" t="str">
        <f t="shared" si="14"/>
        <v/>
      </c>
      <c r="Q14" s="62" t="str">
        <f t="shared" si="4"/>
        <v/>
      </c>
      <c r="R14" s="63" t="str">
        <f t="shared" si="5"/>
        <v/>
      </c>
      <c r="S14" s="77"/>
      <c r="T14" s="44"/>
      <c r="U14" s="162" t="str">
        <f t="shared" ca="1" si="6"/>
        <v/>
      </c>
      <c r="V14" s="160" t="str">
        <f t="shared" ca="1" si="7"/>
        <v/>
      </c>
      <c r="W14" s="62" t="str">
        <f t="shared" si="8"/>
        <v/>
      </c>
      <c r="X14" s="65" t="str">
        <f t="shared" si="9"/>
        <v/>
      </c>
      <c r="Y14" s="68" t="str">
        <f t="shared" ca="1" si="10"/>
        <v/>
      </c>
      <c r="AA14" s="44"/>
      <c r="AB14" s="588" t="str">
        <f t="shared" ca="1" si="15"/>
        <v>-</v>
      </c>
      <c r="AD14" s="165"/>
    </row>
    <row r="15" spans="2:31">
      <c r="C15" s="61" t="e">
        <f t="shared" si="11"/>
        <v>#VALUE!</v>
      </c>
      <c r="D15" s="108" t="str">
        <f t="shared" si="0"/>
        <v/>
      </c>
      <c r="E15" s="57"/>
      <c r="F15" s="613" t="str">
        <f t="shared" si="12"/>
        <v/>
      </c>
      <c r="G15" s="65" t="str">
        <f t="shared" si="13"/>
        <v/>
      </c>
      <c r="H15" s="68" t="str" cm="1">
        <f t="array" ref="H15">IFERROR(IF($C15="","",(o_RollDiameter*0.5)-Fabric_Thickness*C15),"")</f>
        <v/>
      </c>
      <c r="I15" s="57"/>
      <c r="K15" s="65" t="str">
        <f t="shared" si="1"/>
        <v/>
      </c>
      <c r="L15" s="65" t="str">
        <f t="shared" si="2"/>
        <v/>
      </c>
      <c r="M15" s="68"/>
      <c r="O15" s="609" t="str">
        <f t="shared" si="3"/>
        <v/>
      </c>
      <c r="P15" s="62" t="str">
        <f t="shared" si="14"/>
        <v/>
      </c>
      <c r="Q15" s="65" t="str">
        <f t="shared" si="4"/>
        <v/>
      </c>
      <c r="R15" s="66" t="str">
        <f t="shared" si="5"/>
        <v/>
      </c>
      <c r="S15" s="77"/>
      <c r="T15" s="44"/>
      <c r="U15" s="162" t="str">
        <f t="shared" ca="1" si="6"/>
        <v/>
      </c>
      <c r="V15" s="160" t="str">
        <f t="shared" ca="1" si="7"/>
        <v/>
      </c>
      <c r="W15" s="62" t="str">
        <f t="shared" si="8"/>
        <v/>
      </c>
      <c r="X15" s="65" t="str">
        <f t="shared" si="9"/>
        <v/>
      </c>
      <c r="Y15" s="68" t="str">
        <f t="shared" ca="1" si="10"/>
        <v/>
      </c>
      <c r="AA15" s="44"/>
      <c r="AB15" s="588" t="str">
        <f t="shared" ca="1" si="15"/>
        <v>-</v>
      </c>
      <c r="AD15" s="165"/>
    </row>
    <row r="16" spans="2:31">
      <c r="C16" s="61" t="e">
        <f t="shared" si="11"/>
        <v>#VALUE!</v>
      </c>
      <c r="D16" s="108" t="str">
        <f t="shared" si="0"/>
        <v/>
      </c>
      <c r="E16" s="57"/>
      <c r="F16" s="612" t="str">
        <f t="shared" si="12"/>
        <v/>
      </c>
      <c r="G16" s="65" t="str">
        <f t="shared" si="13"/>
        <v/>
      </c>
      <c r="H16" s="68" t="str" cm="1">
        <f t="array" ref="H16">IFERROR(IF($C16="","",(o_RollDiameter*0.5)-Fabric_Thickness*C16),"")</f>
        <v/>
      </c>
      <c r="I16" s="57"/>
      <c r="K16" s="62" t="str">
        <f t="shared" si="1"/>
        <v/>
      </c>
      <c r="L16" s="65" t="str">
        <f t="shared" si="2"/>
        <v/>
      </c>
      <c r="M16" s="68"/>
      <c r="O16" s="608" t="str">
        <f t="shared" si="3"/>
        <v/>
      </c>
      <c r="P16" s="62" t="str">
        <f t="shared" si="14"/>
        <v/>
      </c>
      <c r="Q16" s="62" t="str">
        <f t="shared" si="4"/>
        <v/>
      </c>
      <c r="R16" s="63" t="str">
        <f t="shared" si="5"/>
        <v/>
      </c>
      <c r="S16" s="77"/>
      <c r="T16" s="44"/>
      <c r="U16" s="162" t="str">
        <f t="shared" ca="1" si="6"/>
        <v/>
      </c>
      <c r="V16" s="160" t="str">
        <f t="shared" ca="1" si="7"/>
        <v/>
      </c>
      <c r="W16" s="62" t="str">
        <f t="shared" si="8"/>
        <v/>
      </c>
      <c r="X16" s="65" t="str">
        <f t="shared" si="9"/>
        <v/>
      </c>
      <c r="Y16" s="68" t="str">
        <f t="shared" ca="1" si="10"/>
        <v/>
      </c>
      <c r="AA16" s="44"/>
      <c r="AB16" s="588" t="str">
        <f t="shared" ca="1" si="15"/>
        <v>-</v>
      </c>
      <c r="AD16" s="165"/>
    </row>
    <row r="17" spans="3:30">
      <c r="C17" s="61" t="e">
        <f t="shared" si="11"/>
        <v>#VALUE!</v>
      </c>
      <c r="D17" s="108" t="str">
        <f t="shared" si="0"/>
        <v/>
      </c>
      <c r="E17" s="57"/>
      <c r="F17" s="613" t="str">
        <f t="shared" si="12"/>
        <v/>
      </c>
      <c r="G17" s="65" t="str">
        <f t="shared" si="13"/>
        <v/>
      </c>
      <c r="H17" s="68" t="str" cm="1">
        <f t="array" ref="H17">IFERROR(IF($C17="","",(o_RollDiameter*0.5)-Fabric_Thickness*C17),"")</f>
        <v/>
      </c>
      <c r="I17" s="57"/>
      <c r="K17" s="65" t="str">
        <f t="shared" si="1"/>
        <v/>
      </c>
      <c r="L17" s="65" t="str">
        <f t="shared" si="2"/>
        <v/>
      </c>
      <c r="M17" s="68"/>
      <c r="O17" s="609" t="str">
        <f t="shared" si="3"/>
        <v/>
      </c>
      <c r="P17" s="62" t="str">
        <f t="shared" si="14"/>
        <v/>
      </c>
      <c r="Q17" s="65" t="str">
        <f t="shared" si="4"/>
        <v/>
      </c>
      <c r="R17" s="66" t="str">
        <f t="shared" si="5"/>
        <v/>
      </c>
      <c r="S17" s="77"/>
      <c r="T17" s="44"/>
      <c r="U17" s="162" t="str">
        <f t="shared" ca="1" si="6"/>
        <v/>
      </c>
      <c r="V17" s="160" t="str">
        <f t="shared" ca="1" si="7"/>
        <v/>
      </c>
      <c r="W17" s="62" t="str">
        <f t="shared" si="8"/>
        <v/>
      </c>
      <c r="X17" s="65" t="str">
        <f t="shared" si="9"/>
        <v/>
      </c>
      <c r="Y17" s="68" t="str">
        <f t="shared" ca="1" si="10"/>
        <v/>
      </c>
      <c r="AA17" s="44"/>
      <c r="AB17" s="588" t="str">
        <f t="shared" ca="1" si="15"/>
        <v>-</v>
      </c>
      <c r="AD17" s="165"/>
    </row>
    <row r="18" spans="3:30">
      <c r="C18" s="61" t="e">
        <f t="shared" si="11"/>
        <v>#VALUE!</v>
      </c>
      <c r="D18" s="108" t="str">
        <f t="shared" si="0"/>
        <v/>
      </c>
      <c r="E18" s="57"/>
      <c r="F18" s="612" t="str">
        <f t="shared" si="12"/>
        <v/>
      </c>
      <c r="G18" s="65" t="str">
        <f t="shared" si="13"/>
        <v/>
      </c>
      <c r="H18" s="68" t="str" cm="1">
        <f t="array" ref="H18">IFERROR(IF($C18="","",(o_RollDiameter*0.5)-Fabric_Thickness*C18),"")</f>
        <v/>
      </c>
      <c r="I18" s="57"/>
      <c r="K18" s="62" t="str">
        <f t="shared" si="1"/>
        <v/>
      </c>
      <c r="L18" s="65" t="str">
        <f t="shared" si="2"/>
        <v/>
      </c>
      <c r="M18" s="68"/>
      <c r="O18" s="608" t="str">
        <f t="shared" si="3"/>
        <v/>
      </c>
      <c r="P18" s="62" t="str">
        <f t="shared" si="14"/>
        <v/>
      </c>
      <c r="Q18" s="62" t="str">
        <f t="shared" si="4"/>
        <v/>
      </c>
      <c r="R18" s="63" t="str">
        <f t="shared" si="5"/>
        <v/>
      </c>
      <c r="S18" s="77"/>
      <c r="T18" s="44"/>
      <c r="U18" s="162" t="str">
        <f t="shared" ca="1" si="6"/>
        <v/>
      </c>
      <c r="V18" s="160" t="str">
        <f t="shared" ca="1" si="7"/>
        <v/>
      </c>
      <c r="W18" s="62" t="str">
        <f t="shared" si="8"/>
        <v/>
      </c>
      <c r="X18" s="65" t="str">
        <f t="shared" si="9"/>
        <v/>
      </c>
      <c r="Y18" s="68" t="str">
        <f t="shared" ca="1" si="10"/>
        <v/>
      </c>
      <c r="AA18" s="44"/>
      <c r="AB18" s="588" t="str">
        <f t="shared" ca="1" si="15"/>
        <v>-</v>
      </c>
      <c r="AD18" s="165"/>
    </row>
    <row r="19" spans="3:30">
      <c r="C19" s="61" t="e">
        <f t="shared" si="11"/>
        <v>#VALUE!</v>
      </c>
      <c r="D19" s="108" t="str">
        <f t="shared" si="0"/>
        <v/>
      </c>
      <c r="E19" s="57"/>
      <c r="F19" s="613" t="str">
        <f t="shared" si="12"/>
        <v/>
      </c>
      <c r="G19" s="65" t="str">
        <f t="shared" si="13"/>
        <v/>
      </c>
      <c r="H19" s="68" t="str" cm="1">
        <f t="array" ref="H19">IFERROR(IF($C19="","",(o_RollDiameter*0.5)-Fabric_Thickness*C19),"")</f>
        <v/>
      </c>
      <c r="I19" s="57"/>
      <c r="K19" s="65" t="str">
        <f t="shared" si="1"/>
        <v/>
      </c>
      <c r="L19" s="65" t="str">
        <f t="shared" si="2"/>
        <v/>
      </c>
      <c r="M19" s="68"/>
      <c r="O19" s="609" t="str">
        <f t="shared" si="3"/>
        <v/>
      </c>
      <c r="P19" s="62" t="str">
        <f t="shared" si="14"/>
        <v/>
      </c>
      <c r="Q19" s="65" t="str">
        <f t="shared" si="4"/>
        <v/>
      </c>
      <c r="R19" s="66" t="str">
        <f t="shared" si="5"/>
        <v/>
      </c>
      <c r="S19" s="77"/>
      <c r="T19" s="44"/>
      <c r="U19" s="162" t="str">
        <f t="shared" ca="1" si="6"/>
        <v/>
      </c>
      <c r="V19" s="160" t="str">
        <f t="shared" ca="1" si="7"/>
        <v/>
      </c>
      <c r="W19" s="62" t="str">
        <f t="shared" si="8"/>
        <v/>
      </c>
      <c r="X19" s="65" t="str">
        <f t="shared" si="9"/>
        <v/>
      </c>
      <c r="Y19" s="68" t="str">
        <f t="shared" ca="1" si="10"/>
        <v/>
      </c>
      <c r="AA19" s="44"/>
      <c r="AB19" s="588" t="str">
        <f t="shared" ca="1" si="15"/>
        <v>-</v>
      </c>
      <c r="AD19" s="165"/>
    </row>
    <row r="20" spans="3:30">
      <c r="C20" s="61" t="e">
        <f t="shared" si="11"/>
        <v>#VALUE!</v>
      </c>
      <c r="D20" s="108" t="str">
        <f t="shared" si="0"/>
        <v/>
      </c>
      <c r="E20" s="57"/>
      <c r="F20" s="612" t="str">
        <f t="shared" si="12"/>
        <v/>
      </c>
      <c r="G20" s="65" t="str">
        <f t="shared" si="13"/>
        <v/>
      </c>
      <c r="H20" s="68" t="str" cm="1">
        <f t="array" ref="H20">IFERROR(IF($C20="","",(o_RollDiameter*0.5)-Fabric_Thickness*C20),"")</f>
        <v/>
      </c>
      <c r="I20" s="57"/>
      <c r="K20" s="62" t="str">
        <f t="shared" si="1"/>
        <v/>
      </c>
      <c r="L20" s="65" t="str">
        <f t="shared" si="2"/>
        <v/>
      </c>
      <c r="M20" s="68"/>
      <c r="O20" s="608" t="str">
        <f t="shared" si="3"/>
        <v/>
      </c>
      <c r="P20" s="62" t="str">
        <f t="shared" si="14"/>
        <v/>
      </c>
      <c r="Q20" s="62" t="str">
        <f t="shared" si="4"/>
        <v/>
      </c>
      <c r="R20" s="63" t="str">
        <f t="shared" si="5"/>
        <v/>
      </c>
      <c r="S20" s="77"/>
      <c r="T20" s="44"/>
      <c r="U20" s="162" t="str">
        <f t="shared" ca="1" si="6"/>
        <v/>
      </c>
      <c r="V20" s="160" t="str">
        <f t="shared" ca="1" si="7"/>
        <v/>
      </c>
      <c r="W20" s="62" t="str">
        <f t="shared" si="8"/>
        <v/>
      </c>
      <c r="X20" s="65" t="str">
        <f t="shared" si="9"/>
        <v/>
      </c>
      <c r="Y20" s="68" t="str">
        <f t="shared" ca="1" si="10"/>
        <v/>
      </c>
      <c r="AA20" s="44"/>
      <c r="AB20" s="588" t="str">
        <f t="shared" ca="1" si="15"/>
        <v>-</v>
      </c>
      <c r="AD20" s="165"/>
    </row>
    <row r="21" spans="3:30">
      <c r="C21" s="61" t="e">
        <f t="shared" si="11"/>
        <v>#VALUE!</v>
      </c>
      <c r="D21" s="108" t="str">
        <f t="shared" si="0"/>
        <v/>
      </c>
      <c r="E21" s="57"/>
      <c r="F21" s="613" t="str">
        <f t="shared" si="12"/>
        <v/>
      </c>
      <c r="G21" s="65" t="str">
        <f t="shared" si="13"/>
        <v/>
      </c>
      <c r="H21" s="68" t="str" cm="1">
        <f t="array" ref="H21">IFERROR(IF($C21="","",(o_RollDiameter*0.5)-Fabric_Thickness*C21),"")</f>
        <v/>
      </c>
      <c r="I21" s="57"/>
      <c r="K21" s="65" t="str">
        <f t="shared" si="1"/>
        <v/>
      </c>
      <c r="L21" s="65" t="str">
        <f t="shared" si="2"/>
        <v/>
      </c>
      <c r="M21" s="68"/>
      <c r="O21" s="609" t="str">
        <f t="shared" si="3"/>
        <v/>
      </c>
      <c r="P21" s="62" t="str">
        <f t="shared" si="14"/>
        <v/>
      </c>
      <c r="Q21" s="65" t="str">
        <f t="shared" si="4"/>
        <v/>
      </c>
      <c r="R21" s="66" t="str">
        <f t="shared" si="5"/>
        <v/>
      </c>
      <c r="S21" s="77"/>
      <c r="T21" s="44"/>
      <c r="U21" s="162" t="str">
        <f t="shared" ca="1" si="6"/>
        <v/>
      </c>
      <c r="V21" s="160" t="str">
        <f t="shared" ca="1" si="7"/>
        <v/>
      </c>
      <c r="W21" s="62" t="str">
        <f t="shared" si="8"/>
        <v/>
      </c>
      <c r="X21" s="65" t="str">
        <f t="shared" si="9"/>
        <v/>
      </c>
      <c r="Y21" s="68" t="str">
        <f t="shared" ca="1" si="10"/>
        <v/>
      </c>
      <c r="AA21" s="44"/>
      <c r="AB21" s="588" t="str">
        <f t="shared" ca="1" si="15"/>
        <v>-</v>
      </c>
      <c r="AD21" s="165"/>
    </row>
    <row r="22" spans="3:30">
      <c r="C22" s="61" t="e">
        <f t="shared" si="11"/>
        <v>#VALUE!</v>
      </c>
      <c r="D22" s="108" t="str">
        <f t="shared" si="0"/>
        <v/>
      </c>
      <c r="E22" s="57"/>
      <c r="F22" s="612" t="str">
        <f t="shared" si="12"/>
        <v/>
      </c>
      <c r="G22" s="65" t="str">
        <f t="shared" si="13"/>
        <v/>
      </c>
      <c r="H22" s="68" t="str" cm="1">
        <f t="array" ref="H22">IFERROR(IF($C22="","",(o_RollDiameter*0.5)-Fabric_Thickness*C22),"")</f>
        <v/>
      </c>
      <c r="I22" s="57"/>
      <c r="K22" s="62" t="str">
        <f t="shared" si="1"/>
        <v/>
      </c>
      <c r="L22" s="65" t="str">
        <f t="shared" si="2"/>
        <v/>
      </c>
      <c r="M22" s="68"/>
      <c r="O22" s="608" t="str">
        <f t="shared" si="3"/>
        <v/>
      </c>
      <c r="P22" s="62" t="str">
        <f t="shared" si="14"/>
        <v/>
      </c>
      <c r="Q22" s="62" t="str">
        <f t="shared" si="4"/>
        <v/>
      </c>
      <c r="R22" s="63" t="str">
        <f t="shared" si="5"/>
        <v/>
      </c>
      <c r="S22" s="77"/>
      <c r="T22" s="44"/>
      <c r="U22" s="162" t="str">
        <f t="shared" ca="1" si="6"/>
        <v/>
      </c>
      <c r="V22" s="160" t="str">
        <f t="shared" ca="1" si="7"/>
        <v/>
      </c>
      <c r="W22" s="62" t="str">
        <f t="shared" si="8"/>
        <v/>
      </c>
      <c r="X22" s="65" t="str">
        <f t="shared" si="9"/>
        <v/>
      </c>
      <c r="Y22" s="68" t="str">
        <f t="shared" ca="1" si="10"/>
        <v/>
      </c>
      <c r="AA22" s="44"/>
      <c r="AB22" s="588" t="str">
        <f t="shared" ca="1" si="15"/>
        <v>-</v>
      </c>
      <c r="AD22" s="165"/>
    </row>
    <row r="23" spans="3:30">
      <c r="C23" s="61" t="e">
        <f t="shared" si="11"/>
        <v>#VALUE!</v>
      </c>
      <c r="D23" s="108" t="str">
        <f t="shared" si="0"/>
        <v/>
      </c>
      <c r="E23" s="57"/>
      <c r="F23" s="613" t="str">
        <f t="shared" si="12"/>
        <v/>
      </c>
      <c r="G23" s="65" t="str">
        <f t="shared" si="13"/>
        <v/>
      </c>
      <c r="H23" s="68" t="str" cm="1">
        <f t="array" ref="H23">IFERROR(IF($C23="","",(o_RollDiameter*0.5)-Fabric_Thickness*C23),"")</f>
        <v/>
      </c>
      <c r="I23" s="57"/>
      <c r="K23" s="65" t="str">
        <f t="shared" si="1"/>
        <v/>
      </c>
      <c r="L23" s="65" t="str">
        <f t="shared" si="2"/>
        <v/>
      </c>
      <c r="M23" s="68"/>
      <c r="O23" s="609" t="str">
        <f t="shared" si="3"/>
        <v/>
      </c>
      <c r="P23" s="62" t="str">
        <f t="shared" si="14"/>
        <v/>
      </c>
      <c r="Q23" s="65" t="str">
        <f>IFERROR(IF($C23="","",(P23/((Control_D/1000)/2))/9.81),"")</f>
        <v/>
      </c>
      <c r="R23" s="66" t="str">
        <f t="shared" si="5"/>
        <v/>
      </c>
      <c r="S23" s="77"/>
      <c r="T23" s="44"/>
      <c r="U23" s="162" t="str">
        <f t="shared" ca="1" si="6"/>
        <v/>
      </c>
      <c r="V23" s="160" t="str">
        <f t="shared" ca="1" si="7"/>
        <v/>
      </c>
      <c r="W23" s="62" t="str">
        <f t="shared" si="8"/>
        <v/>
      </c>
      <c r="X23" s="65" t="str">
        <f t="shared" si="9"/>
        <v/>
      </c>
      <c r="Y23" s="68" t="str">
        <f t="shared" ca="1" si="10"/>
        <v/>
      </c>
      <c r="AA23" s="44"/>
      <c r="AB23" s="588" t="str">
        <f t="shared" ca="1" si="15"/>
        <v>-</v>
      </c>
      <c r="AD23" s="165"/>
    </row>
    <row r="24" spans="3:30">
      <c r="C24" s="61" t="e">
        <f t="shared" si="11"/>
        <v>#VALUE!</v>
      </c>
      <c r="D24" s="108" t="str">
        <f t="shared" si="0"/>
        <v/>
      </c>
      <c r="E24" s="57"/>
      <c r="F24" s="612" t="str">
        <f t="shared" si="12"/>
        <v/>
      </c>
      <c r="G24" s="65" t="str">
        <f t="shared" si="13"/>
        <v/>
      </c>
      <c r="H24" s="68" t="str" cm="1">
        <f t="array" ref="H24">IFERROR(IF($C24="","",(o_RollDiameter*0.5)-Fabric_Thickness*C24),"")</f>
        <v/>
      </c>
      <c r="I24" s="57"/>
      <c r="K24" s="62" t="str">
        <f t="shared" si="1"/>
        <v/>
      </c>
      <c r="L24" s="65" t="str">
        <f t="shared" si="2"/>
        <v/>
      </c>
      <c r="M24" s="68"/>
      <c r="O24" s="608" t="str">
        <f t="shared" si="3"/>
        <v/>
      </c>
      <c r="P24" s="62" t="str">
        <f t="shared" si="14"/>
        <v/>
      </c>
      <c r="Q24" s="62" t="str">
        <f t="shared" si="4"/>
        <v/>
      </c>
      <c r="R24" s="63" t="str">
        <f t="shared" si="5"/>
        <v/>
      </c>
      <c r="S24" s="77"/>
      <c r="T24" s="44"/>
      <c r="U24" s="162" t="str">
        <f t="shared" ca="1" si="6"/>
        <v/>
      </c>
      <c r="V24" s="160" t="str">
        <f t="shared" ca="1" si="7"/>
        <v/>
      </c>
      <c r="W24" s="62" t="str">
        <f t="shared" si="8"/>
        <v/>
      </c>
      <c r="X24" s="65" t="str">
        <f t="shared" si="9"/>
        <v/>
      </c>
      <c r="Y24" s="68" t="str">
        <f t="shared" ca="1" si="10"/>
        <v/>
      </c>
      <c r="AA24" s="44"/>
      <c r="AB24" s="588" t="str">
        <f t="shared" ca="1" si="15"/>
        <v>-</v>
      </c>
      <c r="AD24" s="165"/>
    </row>
    <row r="25" spans="3:30">
      <c r="C25" s="61" t="e">
        <f t="shared" si="11"/>
        <v>#VALUE!</v>
      </c>
      <c r="D25" s="108" t="str">
        <f t="shared" si="0"/>
        <v/>
      </c>
      <c r="E25" s="57"/>
      <c r="F25" s="613" t="str">
        <f t="shared" si="12"/>
        <v/>
      </c>
      <c r="G25" s="65" t="str">
        <f t="shared" si="13"/>
        <v/>
      </c>
      <c r="H25" s="68" t="str" cm="1">
        <f t="array" ref="H25">IFERROR(IF($C25="","",(o_RollDiameter*0.5)-Fabric_Thickness*C25),"")</f>
        <v/>
      </c>
      <c r="I25" s="57"/>
      <c r="K25" s="65" t="str">
        <f t="shared" si="1"/>
        <v/>
      </c>
      <c r="L25" s="65" t="str">
        <f t="shared" si="2"/>
        <v/>
      </c>
      <c r="M25" s="68"/>
      <c r="O25" s="609" t="str">
        <f t="shared" si="3"/>
        <v/>
      </c>
      <c r="P25" s="62" t="str">
        <f t="shared" si="14"/>
        <v/>
      </c>
      <c r="Q25" s="65" t="str">
        <f t="shared" si="4"/>
        <v/>
      </c>
      <c r="R25" s="66" t="str">
        <f t="shared" si="5"/>
        <v/>
      </c>
      <c r="S25" s="77"/>
      <c r="T25" s="44"/>
      <c r="U25" s="162" t="str">
        <f t="shared" ca="1" si="6"/>
        <v/>
      </c>
      <c r="V25" s="160" t="str">
        <f t="shared" ca="1" si="7"/>
        <v/>
      </c>
      <c r="W25" s="62" t="str">
        <f t="shared" si="8"/>
        <v/>
      </c>
      <c r="X25" s="65" t="str">
        <f t="shared" si="9"/>
        <v/>
      </c>
      <c r="Y25" s="68" t="str">
        <f t="shared" ca="1" si="10"/>
        <v/>
      </c>
      <c r="AA25" s="44"/>
      <c r="AB25" s="588" t="str">
        <f t="shared" ca="1" si="15"/>
        <v>-</v>
      </c>
      <c r="AD25" s="165"/>
    </row>
    <row r="26" spans="3:30">
      <c r="C26" s="61" t="e">
        <f t="shared" si="11"/>
        <v>#VALUE!</v>
      </c>
      <c r="D26" s="108" t="str">
        <f t="shared" si="0"/>
        <v/>
      </c>
      <c r="E26" s="57"/>
      <c r="F26" s="612" t="str">
        <f t="shared" si="12"/>
        <v/>
      </c>
      <c r="G26" s="65" t="str">
        <f t="shared" si="13"/>
        <v/>
      </c>
      <c r="H26" s="68" t="str" cm="1">
        <f t="array" ref="H26">IFERROR(IF($C26="","",(o_RollDiameter*0.5)-Fabric_Thickness*C26),"")</f>
        <v/>
      </c>
      <c r="I26" s="57"/>
      <c r="K26" s="62" t="str">
        <f t="shared" si="1"/>
        <v/>
      </c>
      <c r="L26" s="65" t="str">
        <f t="shared" si="2"/>
        <v/>
      </c>
      <c r="M26" s="68"/>
      <c r="O26" s="608" t="str">
        <f t="shared" si="3"/>
        <v/>
      </c>
      <c r="P26" s="62" t="str">
        <f t="shared" si="14"/>
        <v/>
      </c>
      <c r="Q26" s="62" t="str">
        <f t="shared" si="4"/>
        <v/>
      </c>
      <c r="R26" s="63" t="str">
        <f t="shared" si="5"/>
        <v/>
      </c>
      <c r="S26" s="77"/>
      <c r="T26" s="44"/>
      <c r="U26" s="125" t="str">
        <f t="shared" ca="1" si="6"/>
        <v/>
      </c>
      <c r="V26" s="160" t="str">
        <f t="shared" ca="1" si="7"/>
        <v/>
      </c>
      <c r="W26" s="62" t="str">
        <f t="shared" si="8"/>
        <v/>
      </c>
      <c r="X26" s="65" t="str">
        <f t="shared" si="9"/>
        <v/>
      </c>
      <c r="Y26" s="68" t="str">
        <f t="shared" ca="1" si="10"/>
        <v/>
      </c>
      <c r="AA26" s="44"/>
      <c r="AB26" s="588" t="str">
        <f t="shared" ca="1" si="15"/>
        <v>-</v>
      </c>
      <c r="AD26" s="165"/>
    </row>
    <row r="27" spans="3:30">
      <c r="C27" s="61" t="e">
        <f t="shared" si="11"/>
        <v>#VALUE!</v>
      </c>
      <c r="D27" s="108" t="str">
        <f t="shared" si="0"/>
        <v/>
      </c>
      <c r="E27" s="57"/>
      <c r="F27" s="613" t="str">
        <f t="shared" si="12"/>
        <v/>
      </c>
      <c r="G27" s="65" t="str">
        <f t="shared" si="13"/>
        <v/>
      </c>
      <c r="H27" s="68" t="str" cm="1">
        <f t="array" ref="H27">IFERROR(IF($C27="","",(o_RollDiameter*0.5)-Fabric_Thickness*C27),"")</f>
        <v/>
      </c>
      <c r="I27" s="57"/>
      <c r="K27" s="65" t="str">
        <f t="shared" si="1"/>
        <v/>
      </c>
      <c r="L27" s="65" t="str">
        <f t="shared" si="2"/>
        <v/>
      </c>
      <c r="M27" s="68"/>
      <c r="O27" s="609" t="str">
        <f t="shared" si="3"/>
        <v/>
      </c>
      <c r="P27" s="62" t="str">
        <f t="shared" si="14"/>
        <v/>
      </c>
      <c r="Q27" s="65" t="str">
        <f t="shared" si="4"/>
        <v/>
      </c>
      <c r="R27" s="66" t="str">
        <f t="shared" si="5"/>
        <v/>
      </c>
      <c r="S27" s="77"/>
      <c r="T27" s="44"/>
      <c r="U27" s="125" t="str">
        <f t="shared" ca="1" si="6"/>
        <v/>
      </c>
      <c r="V27" s="160" t="str">
        <f t="shared" ca="1" si="7"/>
        <v/>
      </c>
      <c r="W27" s="62" t="str">
        <f t="shared" si="8"/>
        <v/>
      </c>
      <c r="X27" s="65" t="str">
        <f t="shared" si="9"/>
        <v/>
      </c>
      <c r="Y27" s="68" t="str">
        <f t="shared" ca="1" si="10"/>
        <v/>
      </c>
      <c r="AA27" s="44"/>
      <c r="AB27" s="588" t="str">
        <f t="shared" ca="1" si="15"/>
        <v>-</v>
      </c>
      <c r="AD27" s="165"/>
    </row>
    <row r="28" spans="3:30">
      <c r="C28" s="61" t="e">
        <f t="shared" si="11"/>
        <v>#VALUE!</v>
      </c>
      <c r="D28" s="108" t="str">
        <f t="shared" si="0"/>
        <v/>
      </c>
      <c r="E28" s="57"/>
      <c r="F28" s="612" t="str">
        <f t="shared" si="12"/>
        <v/>
      </c>
      <c r="G28" s="65" t="str">
        <f t="shared" si="13"/>
        <v/>
      </c>
      <c r="H28" s="68" t="str" cm="1">
        <f t="array" ref="H28">IFERROR(IF($C28="","",(o_RollDiameter*0.5)-Fabric_Thickness*C28),"")</f>
        <v/>
      </c>
      <c r="I28" s="57"/>
      <c r="K28" s="62" t="str">
        <f t="shared" si="1"/>
        <v/>
      </c>
      <c r="L28" s="65" t="str">
        <f t="shared" si="2"/>
        <v/>
      </c>
      <c r="M28" s="68"/>
      <c r="O28" s="608" t="str">
        <f t="shared" si="3"/>
        <v/>
      </c>
      <c r="P28" s="62" t="str">
        <f t="shared" si="14"/>
        <v/>
      </c>
      <c r="Q28" s="62" t="str">
        <f t="shared" si="4"/>
        <v/>
      </c>
      <c r="R28" s="63" t="str">
        <f t="shared" si="5"/>
        <v/>
      </c>
      <c r="S28" s="77"/>
      <c r="T28" s="44"/>
      <c r="U28" s="125" t="str">
        <f t="shared" ca="1" si="6"/>
        <v/>
      </c>
      <c r="V28" s="160" t="str">
        <f t="shared" ca="1" si="7"/>
        <v/>
      </c>
      <c r="W28" s="62" t="str">
        <f t="shared" si="8"/>
        <v/>
      </c>
      <c r="X28" s="65" t="str">
        <f t="shared" si="9"/>
        <v/>
      </c>
      <c r="Y28" s="68" t="str">
        <f t="shared" ca="1" si="10"/>
        <v/>
      </c>
      <c r="AA28" s="44"/>
      <c r="AB28" s="588" t="str">
        <f t="shared" ca="1" si="15"/>
        <v>-</v>
      </c>
      <c r="AD28" s="165"/>
    </row>
    <row r="29" spans="3:30">
      <c r="C29" s="61" t="e">
        <f t="shared" si="11"/>
        <v>#VALUE!</v>
      </c>
      <c r="D29" s="108" t="str">
        <f t="shared" si="0"/>
        <v/>
      </c>
      <c r="E29" s="57"/>
      <c r="F29" s="613" t="str">
        <f t="shared" si="12"/>
        <v/>
      </c>
      <c r="G29" s="65" t="str">
        <f t="shared" si="13"/>
        <v/>
      </c>
      <c r="H29" s="68" t="str" cm="1">
        <f t="array" ref="H29">IFERROR(IF($C29="","",(o_RollDiameter*0.5)-Fabric_Thickness*C29),"")</f>
        <v/>
      </c>
      <c r="I29" s="57"/>
      <c r="K29" s="65" t="str">
        <f t="shared" si="1"/>
        <v/>
      </c>
      <c r="L29" s="65" t="str">
        <f t="shared" si="2"/>
        <v/>
      </c>
      <c r="M29" s="68"/>
      <c r="O29" s="609" t="str">
        <f t="shared" si="3"/>
        <v/>
      </c>
      <c r="P29" s="62" t="str">
        <f t="shared" si="14"/>
        <v/>
      </c>
      <c r="Q29" s="65" t="str">
        <f t="shared" si="4"/>
        <v/>
      </c>
      <c r="R29" s="66" t="str">
        <f t="shared" si="5"/>
        <v/>
      </c>
      <c r="S29" s="77"/>
      <c r="T29" s="44"/>
      <c r="U29" s="125" t="str">
        <f t="shared" ca="1" si="6"/>
        <v/>
      </c>
      <c r="V29" s="160" t="str">
        <f t="shared" ca="1" si="7"/>
        <v/>
      </c>
      <c r="W29" s="62" t="str">
        <f t="shared" si="8"/>
        <v/>
      </c>
      <c r="X29" s="65" t="str">
        <f t="shared" si="9"/>
        <v/>
      </c>
      <c r="Y29" s="68" t="str">
        <f t="shared" ca="1" si="10"/>
        <v/>
      </c>
      <c r="AA29" s="44"/>
      <c r="AB29" s="588" t="str">
        <f t="shared" ca="1" si="15"/>
        <v>-</v>
      </c>
      <c r="AD29" s="165"/>
    </row>
    <row r="30" spans="3:30">
      <c r="C30" s="61" t="e">
        <f t="shared" si="11"/>
        <v>#VALUE!</v>
      </c>
      <c r="D30" s="108" t="str">
        <f t="shared" si="0"/>
        <v/>
      </c>
      <c r="E30" s="57"/>
      <c r="F30" s="612" t="str">
        <f t="shared" si="12"/>
        <v/>
      </c>
      <c r="G30" s="65" t="str">
        <f>IFERROR(IF($C30="","",H30*2),"")</f>
        <v/>
      </c>
      <c r="H30" s="68" t="str">
        <f>IFERROR(IF($C30="","",(o_RollDiameter*0.5)-Fabric_Thickness*C30),"")</f>
        <v/>
      </c>
      <c r="I30" s="57"/>
      <c r="K30" s="62" t="str">
        <f t="shared" si="1"/>
        <v/>
      </c>
      <c r="L30" s="65" t="str">
        <f t="shared" si="2"/>
        <v/>
      </c>
      <c r="M30" s="68"/>
      <c r="O30" s="608" t="str">
        <f t="shared" si="3"/>
        <v/>
      </c>
      <c r="P30" s="62" t="str">
        <f t="shared" si="14"/>
        <v/>
      </c>
      <c r="Q30" s="62" t="str">
        <f t="shared" si="4"/>
        <v/>
      </c>
      <c r="R30" s="63" t="str">
        <f t="shared" si="5"/>
        <v/>
      </c>
      <c r="S30" s="77"/>
      <c r="T30" s="44"/>
      <c r="U30" s="125" t="str">
        <f t="shared" ca="1" si="6"/>
        <v/>
      </c>
      <c r="V30" s="160" t="str">
        <f t="shared" ca="1" si="7"/>
        <v/>
      </c>
      <c r="W30" s="62" t="str">
        <f t="shared" si="8"/>
        <v/>
      </c>
      <c r="X30" s="65" t="str">
        <f t="shared" si="9"/>
        <v/>
      </c>
      <c r="Y30" s="68" t="str">
        <f t="shared" ca="1" si="10"/>
        <v/>
      </c>
      <c r="AA30" s="44"/>
      <c r="AB30" s="588" t="str">
        <f t="shared" ca="1" si="15"/>
        <v>-</v>
      </c>
      <c r="AD30" s="165"/>
    </row>
    <row r="31" spans="3:30">
      <c r="C31" s="61" t="e">
        <f t="shared" si="11"/>
        <v>#VALUE!</v>
      </c>
      <c r="D31" s="108" t="str">
        <f t="shared" si="0"/>
        <v/>
      </c>
      <c r="E31" s="57"/>
      <c r="F31" s="613" t="str">
        <f t="shared" si="12"/>
        <v/>
      </c>
      <c r="G31" s="65" t="str">
        <f t="shared" si="13"/>
        <v/>
      </c>
      <c r="H31" s="68" t="str" cm="1">
        <f t="array" ref="H31">IFERROR(IF($C31="","",(o_RollDiameter*0.5)-Fabric_Thickness*C31),"")</f>
        <v/>
      </c>
      <c r="I31" s="57"/>
      <c r="K31" s="65" t="str">
        <f t="shared" si="1"/>
        <v/>
      </c>
      <c r="L31" s="65" t="str">
        <f t="shared" si="2"/>
        <v/>
      </c>
      <c r="M31" s="68"/>
      <c r="O31" s="609" t="str">
        <f t="shared" si="3"/>
        <v/>
      </c>
      <c r="P31" s="62" t="str">
        <f t="shared" si="14"/>
        <v/>
      </c>
      <c r="Q31" s="65" t="str">
        <f t="shared" si="4"/>
        <v/>
      </c>
      <c r="R31" s="66" t="str">
        <f t="shared" si="5"/>
        <v/>
      </c>
      <c r="S31" s="77"/>
      <c r="T31" s="44"/>
      <c r="U31" s="125" t="str">
        <f t="shared" ca="1" si="6"/>
        <v/>
      </c>
      <c r="V31" s="160" t="str">
        <f t="shared" ca="1" si="7"/>
        <v/>
      </c>
      <c r="W31" s="62" t="str">
        <f t="shared" si="8"/>
        <v/>
      </c>
      <c r="X31" s="65" t="str">
        <f t="shared" si="9"/>
        <v/>
      </c>
      <c r="Y31" s="68" t="str">
        <f t="shared" ca="1" si="10"/>
        <v/>
      </c>
      <c r="AA31" s="44"/>
      <c r="AB31" s="588" t="str">
        <f t="shared" ca="1" si="15"/>
        <v>-</v>
      </c>
      <c r="AD31" s="165"/>
    </row>
    <row r="32" spans="3:30">
      <c r="C32" s="61" t="e">
        <f t="shared" si="11"/>
        <v>#VALUE!</v>
      </c>
      <c r="D32" s="108" t="str">
        <f t="shared" si="0"/>
        <v/>
      </c>
      <c r="E32" s="57"/>
      <c r="F32" s="612" t="str">
        <f t="shared" si="12"/>
        <v/>
      </c>
      <c r="G32" s="65" t="str">
        <f t="shared" si="13"/>
        <v/>
      </c>
      <c r="H32" s="68" t="str" cm="1">
        <f t="array" ref="H32">IFERROR(IF($C32="","",(o_RollDiameter*0.5)-Fabric_Thickness*C32),"")</f>
        <v/>
      </c>
      <c r="I32" s="57"/>
      <c r="K32" s="62" t="str">
        <f t="shared" si="1"/>
        <v/>
      </c>
      <c r="L32" s="65" t="str">
        <f t="shared" si="2"/>
        <v/>
      </c>
      <c r="M32" s="68"/>
      <c r="O32" s="608" t="str">
        <f t="shared" si="3"/>
        <v/>
      </c>
      <c r="P32" s="62" t="str">
        <f t="shared" si="14"/>
        <v/>
      </c>
      <c r="Q32" s="62" t="str">
        <f t="shared" si="4"/>
        <v/>
      </c>
      <c r="R32" s="63" t="str">
        <f t="shared" si="5"/>
        <v/>
      </c>
      <c r="S32" s="77"/>
      <c r="T32" s="44"/>
      <c r="U32" s="125" t="str">
        <f t="shared" ca="1" si="6"/>
        <v/>
      </c>
      <c r="V32" s="160" t="str">
        <f t="shared" ca="1" si="7"/>
        <v/>
      </c>
      <c r="W32" s="62" t="str">
        <f t="shared" si="8"/>
        <v/>
      </c>
      <c r="X32" s="65" t="str">
        <f t="shared" si="9"/>
        <v/>
      </c>
      <c r="Y32" s="68" t="str">
        <f t="shared" ca="1" si="10"/>
        <v/>
      </c>
      <c r="AA32" s="44"/>
      <c r="AB32" s="588" t="str">
        <f t="shared" ca="1" si="15"/>
        <v>-</v>
      </c>
      <c r="AD32" s="165"/>
    </row>
    <row r="33" spans="3:30">
      <c r="C33" s="61" t="e">
        <f t="shared" si="11"/>
        <v>#VALUE!</v>
      </c>
      <c r="D33" s="108" t="str">
        <f t="shared" si="0"/>
        <v/>
      </c>
      <c r="E33" s="57"/>
      <c r="F33" s="613" t="str">
        <f t="shared" si="12"/>
        <v/>
      </c>
      <c r="G33" s="65" t="str">
        <f t="shared" si="13"/>
        <v/>
      </c>
      <c r="H33" s="68" t="str" cm="1">
        <f t="array" ref="H33">IFERROR(IF($C33="","",(o_RollDiameter*0.5)-Fabric_Thickness*C33),"")</f>
        <v/>
      </c>
      <c r="I33" s="57"/>
      <c r="K33" s="65" t="str">
        <f t="shared" si="1"/>
        <v/>
      </c>
      <c r="L33" s="65" t="str">
        <f t="shared" si="2"/>
        <v/>
      </c>
      <c r="M33" s="68"/>
      <c r="O33" s="609" t="str">
        <f t="shared" si="3"/>
        <v/>
      </c>
      <c r="P33" s="62" t="str">
        <f t="shared" si="14"/>
        <v/>
      </c>
      <c r="Q33" s="65" t="str">
        <f t="shared" si="4"/>
        <v/>
      </c>
      <c r="R33" s="66" t="str">
        <f t="shared" si="5"/>
        <v/>
      </c>
      <c r="S33" s="77"/>
      <c r="T33" s="44"/>
      <c r="U33" s="125" t="str">
        <f t="shared" ca="1" si="6"/>
        <v/>
      </c>
      <c r="V33" s="160" t="str">
        <f t="shared" ca="1" si="7"/>
        <v/>
      </c>
      <c r="W33" s="62" t="str">
        <f t="shared" si="8"/>
        <v/>
      </c>
      <c r="X33" s="65" t="str">
        <f t="shared" si="9"/>
        <v/>
      </c>
      <c r="Y33" s="68" t="str">
        <f t="shared" ca="1" si="10"/>
        <v/>
      </c>
      <c r="AA33" s="44"/>
      <c r="AB33" s="588" t="str">
        <f t="shared" ca="1" si="15"/>
        <v>-</v>
      </c>
      <c r="AD33" s="165"/>
    </row>
    <row r="34" spans="3:30">
      <c r="C34" s="61" t="e">
        <f t="shared" si="11"/>
        <v>#VALUE!</v>
      </c>
      <c r="D34" s="108" t="str">
        <f t="shared" si="0"/>
        <v/>
      </c>
      <c r="E34" s="57"/>
      <c r="F34" s="612" t="str">
        <f t="shared" si="12"/>
        <v/>
      </c>
      <c r="G34" s="65" t="str">
        <f t="shared" si="13"/>
        <v/>
      </c>
      <c r="H34" s="68" t="str" cm="1">
        <f t="array" ref="H34">IFERROR(IF($C34="","",(o_RollDiameter*0.5)-Fabric_Thickness*C34),"")</f>
        <v/>
      </c>
      <c r="I34" s="57"/>
      <c r="K34" s="62" t="str">
        <f t="shared" si="1"/>
        <v/>
      </c>
      <c r="L34" s="65" t="str">
        <f t="shared" si="2"/>
        <v/>
      </c>
      <c r="M34" s="68"/>
      <c r="O34" s="608" t="str">
        <f t="shared" si="3"/>
        <v/>
      </c>
      <c r="P34" s="62" t="str">
        <f t="shared" si="14"/>
        <v/>
      </c>
      <c r="Q34" s="62" t="str">
        <f t="shared" si="4"/>
        <v/>
      </c>
      <c r="R34" s="63" t="str">
        <f t="shared" si="5"/>
        <v/>
      </c>
      <c r="S34" s="77"/>
      <c r="T34" s="44"/>
      <c r="U34" s="125" t="str">
        <f t="shared" ca="1" si="6"/>
        <v/>
      </c>
      <c r="V34" s="160" t="str">
        <f t="shared" ca="1" si="7"/>
        <v/>
      </c>
      <c r="W34" s="62" t="str">
        <f t="shared" si="8"/>
        <v/>
      </c>
      <c r="X34" s="65" t="str">
        <f t="shared" si="9"/>
        <v/>
      </c>
      <c r="Y34" s="68" t="str">
        <f t="shared" ca="1" si="10"/>
        <v/>
      </c>
      <c r="AA34" s="44"/>
      <c r="AB34" s="588" t="str">
        <f t="shared" ca="1" si="15"/>
        <v>-</v>
      </c>
      <c r="AD34" s="165"/>
    </row>
    <row r="35" spans="3:30">
      <c r="C35" s="61" t="e">
        <f t="shared" si="11"/>
        <v>#VALUE!</v>
      </c>
      <c r="D35" s="108" t="str">
        <f t="shared" si="0"/>
        <v/>
      </c>
      <c r="E35" s="57"/>
      <c r="F35" s="613" t="str">
        <f t="shared" si="12"/>
        <v/>
      </c>
      <c r="G35" s="65" t="str">
        <f t="shared" si="13"/>
        <v/>
      </c>
      <c r="H35" s="68" t="str" cm="1">
        <f t="array" ref="H35">IFERROR(IF($C35="","",(o_RollDiameter*0.5)-Fabric_Thickness*C35),"")</f>
        <v/>
      </c>
      <c r="I35" s="57"/>
      <c r="K35" s="65" t="str">
        <f t="shared" si="1"/>
        <v/>
      </c>
      <c r="L35" s="65" t="str">
        <f t="shared" si="2"/>
        <v/>
      </c>
      <c r="M35" s="68"/>
      <c r="O35" s="609" t="str">
        <f t="shared" si="3"/>
        <v/>
      </c>
      <c r="P35" s="62" t="str">
        <f t="shared" si="14"/>
        <v/>
      </c>
      <c r="Q35" s="65" t="str">
        <f t="shared" si="4"/>
        <v/>
      </c>
      <c r="R35" s="66" t="str">
        <f t="shared" si="5"/>
        <v/>
      </c>
      <c r="S35" s="77"/>
      <c r="T35" s="44"/>
      <c r="U35" s="125" t="str">
        <f t="shared" ca="1" si="6"/>
        <v/>
      </c>
      <c r="V35" s="160" t="str">
        <f t="shared" ca="1" si="7"/>
        <v/>
      </c>
      <c r="W35" s="62" t="str">
        <f t="shared" si="8"/>
        <v/>
      </c>
      <c r="X35" s="65" t="str">
        <f t="shared" si="9"/>
        <v/>
      </c>
      <c r="Y35" s="68" t="str">
        <f t="shared" ca="1" si="10"/>
        <v/>
      </c>
      <c r="AA35" s="44"/>
      <c r="AB35" s="588" t="str">
        <f t="shared" ca="1" si="15"/>
        <v>-</v>
      </c>
      <c r="AD35" s="165"/>
    </row>
    <row r="36" spans="3:30">
      <c r="C36" s="61" t="e">
        <f t="shared" si="11"/>
        <v>#VALUE!</v>
      </c>
      <c r="D36" s="108" t="str">
        <f t="shared" si="0"/>
        <v/>
      </c>
      <c r="E36" s="57"/>
      <c r="F36" s="612" t="str">
        <f t="shared" si="12"/>
        <v/>
      </c>
      <c r="G36" s="65" t="str">
        <f t="shared" si="13"/>
        <v/>
      </c>
      <c r="H36" s="68" t="str" cm="1">
        <f t="array" ref="H36">IFERROR(IF($C36="","",(o_RollDiameter*0.5)-Fabric_Thickness*C36),"")</f>
        <v/>
      </c>
      <c r="I36" s="57"/>
      <c r="K36" s="62" t="str">
        <f t="shared" si="1"/>
        <v/>
      </c>
      <c r="L36" s="65" t="str">
        <f t="shared" si="2"/>
        <v/>
      </c>
      <c r="M36" s="68"/>
      <c r="O36" s="608" t="str">
        <f t="shared" si="3"/>
        <v/>
      </c>
      <c r="P36" s="62" t="str">
        <f t="shared" si="14"/>
        <v/>
      </c>
      <c r="Q36" s="62" t="str">
        <f t="shared" si="4"/>
        <v/>
      </c>
      <c r="R36" s="63" t="str">
        <f t="shared" si="5"/>
        <v/>
      </c>
      <c r="S36" s="77"/>
      <c r="T36" s="44"/>
      <c r="U36" s="125" t="str">
        <f t="shared" ca="1" si="6"/>
        <v/>
      </c>
      <c r="V36" s="160" t="str">
        <f t="shared" ca="1" si="7"/>
        <v/>
      </c>
      <c r="W36" s="62" t="str">
        <f t="shared" si="8"/>
        <v/>
      </c>
      <c r="X36" s="65" t="str">
        <f t="shared" si="9"/>
        <v/>
      </c>
      <c r="Y36" s="68" t="str">
        <f t="shared" ca="1" si="10"/>
        <v/>
      </c>
      <c r="AA36" s="44"/>
      <c r="AB36" s="588" t="str">
        <f t="shared" ca="1" si="15"/>
        <v>-</v>
      </c>
      <c r="AD36" s="165"/>
    </row>
    <row r="37" spans="3:30">
      <c r="C37" s="61" t="e">
        <f t="shared" si="11"/>
        <v>#VALUE!</v>
      </c>
      <c r="D37" s="108" t="str">
        <f t="shared" si="0"/>
        <v/>
      </c>
      <c r="E37" s="57"/>
      <c r="F37" s="613" t="str">
        <f t="shared" si="12"/>
        <v/>
      </c>
      <c r="G37" s="65" t="str">
        <f t="shared" si="13"/>
        <v/>
      </c>
      <c r="H37" s="68" t="str" cm="1">
        <f t="array" ref="H37">IFERROR(IF($C37="","",(o_RollDiameter*0.5)-Fabric_Thickness*C37),"")</f>
        <v/>
      </c>
      <c r="I37" s="57"/>
      <c r="K37" s="65" t="str">
        <f t="shared" si="1"/>
        <v/>
      </c>
      <c r="L37" s="65" t="str">
        <f t="shared" si="2"/>
        <v/>
      </c>
      <c r="M37" s="68"/>
      <c r="O37" s="609" t="str">
        <f t="shared" si="3"/>
        <v/>
      </c>
      <c r="P37" s="62" t="str">
        <f t="shared" si="14"/>
        <v/>
      </c>
      <c r="Q37" s="65" t="str">
        <f t="shared" si="4"/>
        <v/>
      </c>
      <c r="R37" s="66" t="str">
        <f t="shared" si="5"/>
        <v/>
      </c>
      <c r="S37" s="77"/>
      <c r="T37" s="44"/>
      <c r="U37" s="125" t="str">
        <f t="shared" ca="1" si="6"/>
        <v/>
      </c>
      <c r="V37" s="160" t="str">
        <f t="shared" ca="1" si="7"/>
        <v/>
      </c>
      <c r="W37" s="62" t="str">
        <f t="shared" si="8"/>
        <v/>
      </c>
      <c r="X37" s="65" t="str">
        <f t="shared" si="9"/>
        <v/>
      </c>
      <c r="Y37" s="68" t="str">
        <f t="shared" ca="1" si="10"/>
        <v/>
      </c>
      <c r="AA37" s="44"/>
      <c r="AB37" s="588" t="str">
        <f t="shared" ca="1" si="15"/>
        <v>-</v>
      </c>
      <c r="AD37" s="165"/>
    </row>
    <row r="38" spans="3:30">
      <c r="C38" s="61" t="e">
        <f t="shared" si="11"/>
        <v>#VALUE!</v>
      </c>
      <c r="D38" s="108" t="str">
        <f t="shared" si="0"/>
        <v/>
      </c>
      <c r="E38" s="57"/>
      <c r="F38" s="612" t="str">
        <f t="shared" si="12"/>
        <v/>
      </c>
      <c r="G38" s="65" t="str">
        <f t="shared" si="13"/>
        <v/>
      </c>
      <c r="H38" s="68" t="str" cm="1">
        <f t="array" ref="H38">IFERROR(IF($C38="","",(o_RollDiameter*0.5)-Fabric_Thickness*C38),"")</f>
        <v/>
      </c>
      <c r="I38" s="57"/>
      <c r="K38" s="62" t="str">
        <f t="shared" si="1"/>
        <v/>
      </c>
      <c r="L38" s="65" t="str">
        <f t="shared" si="2"/>
        <v/>
      </c>
      <c r="M38" s="68"/>
      <c r="O38" s="608" t="str">
        <f t="shared" si="3"/>
        <v/>
      </c>
      <c r="P38" s="62" t="str">
        <f t="shared" si="14"/>
        <v/>
      </c>
      <c r="Q38" s="62" t="str">
        <f t="shared" si="4"/>
        <v/>
      </c>
      <c r="R38" s="63" t="str">
        <f t="shared" si="5"/>
        <v/>
      </c>
      <c r="S38" s="77"/>
      <c r="T38" s="44"/>
      <c r="U38" s="125" t="str">
        <f t="shared" ca="1" si="6"/>
        <v/>
      </c>
      <c r="V38" s="160" t="str">
        <f t="shared" ca="1" si="7"/>
        <v/>
      </c>
      <c r="W38" s="62" t="str">
        <f t="shared" si="8"/>
        <v/>
      </c>
      <c r="X38" s="65" t="str">
        <f t="shared" si="9"/>
        <v/>
      </c>
      <c r="Y38" s="68" t="str">
        <f t="shared" ca="1" si="10"/>
        <v/>
      </c>
      <c r="AA38" s="44"/>
      <c r="AB38" s="588" t="str">
        <f t="shared" ca="1" si="15"/>
        <v>-</v>
      </c>
      <c r="AD38" s="165"/>
    </row>
    <row r="39" spans="3:30">
      <c r="C39" s="61" t="e">
        <f t="shared" si="11"/>
        <v>#VALUE!</v>
      </c>
      <c r="D39" s="108" t="str">
        <f t="shared" si="0"/>
        <v/>
      </c>
      <c r="E39" s="57"/>
      <c r="F39" s="613" t="str">
        <f t="shared" si="12"/>
        <v/>
      </c>
      <c r="G39" s="65" t="str">
        <f t="shared" si="13"/>
        <v/>
      </c>
      <c r="H39" s="68" t="str" cm="1">
        <f t="array" ref="H39">IFERROR(IF($C39="","",(o_RollDiameter*0.5)-Fabric_Thickness*C39),"")</f>
        <v/>
      </c>
      <c r="I39" s="57"/>
      <c r="K39" s="65" t="str">
        <f t="shared" si="1"/>
        <v/>
      </c>
      <c r="L39" s="65" t="str">
        <f t="shared" si="2"/>
        <v/>
      </c>
      <c r="M39" s="68"/>
      <c r="O39" s="609" t="str">
        <f t="shared" si="3"/>
        <v/>
      </c>
      <c r="P39" s="62" t="str">
        <f t="shared" si="14"/>
        <v/>
      </c>
      <c r="Q39" s="65" t="str">
        <f t="shared" si="4"/>
        <v/>
      </c>
      <c r="R39" s="66" t="str">
        <f t="shared" si="5"/>
        <v/>
      </c>
      <c r="S39" s="77"/>
      <c r="T39" s="44"/>
      <c r="U39" s="125" t="str">
        <f t="shared" ca="1" si="6"/>
        <v/>
      </c>
      <c r="V39" s="160" t="str">
        <f t="shared" ca="1" si="7"/>
        <v/>
      </c>
      <c r="W39" s="62" t="str">
        <f t="shared" si="8"/>
        <v/>
      </c>
      <c r="X39" s="65" t="str">
        <f t="shared" si="9"/>
        <v/>
      </c>
      <c r="Y39" s="68" t="str">
        <f t="shared" ca="1" si="10"/>
        <v/>
      </c>
      <c r="AA39" s="44"/>
      <c r="AB39" s="588" t="str">
        <f t="shared" ca="1" si="15"/>
        <v>-</v>
      </c>
      <c r="AD39" s="165"/>
    </row>
    <row r="40" spans="3:30">
      <c r="C40" s="61" t="e">
        <f t="shared" si="11"/>
        <v>#VALUE!</v>
      </c>
      <c r="D40" s="108" t="str">
        <f t="shared" si="0"/>
        <v/>
      </c>
      <c r="E40" s="57"/>
      <c r="F40" s="612" t="str">
        <f t="shared" si="12"/>
        <v/>
      </c>
      <c r="G40" s="65" t="str">
        <f t="shared" si="13"/>
        <v/>
      </c>
      <c r="H40" s="68" t="str" cm="1">
        <f t="array" ref="H40">IFERROR(IF($C40="","",(o_RollDiameter*0.5)-Fabric_Thickness*C40),"")</f>
        <v/>
      </c>
      <c r="I40" s="57"/>
      <c r="K40" s="62" t="str">
        <f t="shared" si="1"/>
        <v/>
      </c>
      <c r="L40" s="65" t="str">
        <f t="shared" si="2"/>
        <v/>
      </c>
      <c r="M40" s="68"/>
      <c r="O40" s="610" t="str">
        <f t="shared" si="3"/>
        <v/>
      </c>
      <c r="P40" s="62" t="str">
        <f t="shared" si="14"/>
        <v/>
      </c>
      <c r="Q40" s="62" t="str">
        <f t="shared" si="4"/>
        <v/>
      </c>
      <c r="R40" s="63" t="str">
        <f t="shared" si="5"/>
        <v/>
      </c>
      <c r="S40" s="77"/>
      <c r="T40" s="44"/>
      <c r="U40" s="125" t="str">
        <f t="shared" ca="1" si="6"/>
        <v/>
      </c>
      <c r="V40" s="160" t="str">
        <f t="shared" ca="1" si="7"/>
        <v/>
      </c>
      <c r="W40" s="62" t="str">
        <f t="shared" si="8"/>
        <v/>
      </c>
      <c r="X40" s="65" t="str">
        <f t="shared" si="9"/>
        <v/>
      </c>
      <c r="Y40" s="68" t="str">
        <f t="shared" ca="1" si="10"/>
        <v/>
      </c>
      <c r="AA40" s="44"/>
      <c r="AB40" s="588" t="str">
        <f t="shared" ca="1" si="15"/>
        <v>-</v>
      </c>
      <c r="AD40" s="165"/>
    </row>
    <row r="41" spans="3:30">
      <c r="C41" s="61" t="e">
        <f t="shared" si="11"/>
        <v>#VALUE!</v>
      </c>
      <c r="D41" s="108" t="str">
        <f t="shared" si="0"/>
        <v/>
      </c>
      <c r="E41" s="57"/>
      <c r="F41" s="65" t="str">
        <f t="shared" si="12"/>
        <v/>
      </c>
      <c r="G41" s="65" t="str">
        <f t="shared" si="13"/>
        <v/>
      </c>
      <c r="H41" s="68" t="str" cm="1">
        <f t="array" ref="H41">IFERROR(IF($C41="","",(o_RollDiameter*0.5)-Fabric_Thickness*C41),"")</f>
        <v/>
      </c>
      <c r="I41" s="57"/>
      <c r="K41" s="65" t="str">
        <f t="shared" si="1"/>
        <v/>
      </c>
      <c r="L41" s="65" t="str">
        <f t="shared" si="2"/>
        <v/>
      </c>
      <c r="M41" s="68"/>
      <c r="O41" s="164" t="str">
        <f t="shared" si="3"/>
        <v/>
      </c>
      <c r="P41" s="65" t="str">
        <f t="shared" si="14"/>
        <v/>
      </c>
      <c r="Q41" s="65" t="str">
        <f t="shared" si="4"/>
        <v/>
      </c>
      <c r="R41" s="66" t="str">
        <f t="shared" si="5"/>
        <v/>
      </c>
      <c r="S41" s="77"/>
      <c r="U41" s="125" t="str">
        <f t="shared" ca="1" si="6"/>
        <v/>
      </c>
      <c r="V41" s="160" t="str">
        <f t="shared" ca="1" si="7"/>
        <v/>
      </c>
      <c r="W41" s="62" t="str">
        <f t="shared" si="8"/>
        <v/>
      </c>
      <c r="X41" s="65" t="str">
        <f t="shared" si="9"/>
        <v/>
      </c>
      <c r="Y41" s="68" t="str">
        <f t="shared" ca="1" si="10"/>
        <v/>
      </c>
      <c r="AA41" s="44"/>
      <c r="AB41" s="588" t="str">
        <f t="shared" ca="1" si="15"/>
        <v>-</v>
      </c>
      <c r="AD41" s="165"/>
    </row>
    <row r="42" spans="3:30">
      <c r="C42" s="61" t="e">
        <f t="shared" si="11"/>
        <v>#VALUE!</v>
      </c>
      <c r="D42" s="108" t="str">
        <f t="shared" si="0"/>
        <v/>
      </c>
      <c r="E42" s="57"/>
      <c r="F42" s="62" t="str">
        <f t="shared" si="12"/>
        <v/>
      </c>
      <c r="G42" s="65" t="str">
        <f t="shared" si="13"/>
        <v/>
      </c>
      <c r="H42" s="68" t="str" cm="1">
        <f t="array" ref="H42">IFERROR(IF($C42="","",(o_RollDiameter*0.5)-Fabric_Thickness*C42),"")</f>
        <v/>
      </c>
      <c r="I42" s="57"/>
      <c r="K42" s="62" t="str">
        <f t="shared" si="1"/>
        <v/>
      </c>
      <c r="L42" s="65" t="str">
        <f t="shared" si="2"/>
        <v/>
      </c>
      <c r="M42" s="68"/>
      <c r="O42" s="163" t="str">
        <f t="shared" si="3"/>
        <v/>
      </c>
      <c r="P42" s="62" t="str">
        <f t="shared" si="14"/>
        <v/>
      </c>
      <c r="Q42" s="62" t="str">
        <f t="shared" si="4"/>
        <v/>
      </c>
      <c r="R42" s="63" t="str">
        <f t="shared" si="5"/>
        <v/>
      </c>
      <c r="S42" s="77"/>
      <c r="U42" s="125" t="str">
        <f t="shared" ca="1" si="6"/>
        <v/>
      </c>
      <c r="V42" s="160" t="str">
        <f t="shared" ca="1" si="7"/>
        <v/>
      </c>
      <c r="W42" s="62" t="str">
        <f t="shared" si="8"/>
        <v/>
      </c>
      <c r="X42" s="65" t="str">
        <f t="shared" si="9"/>
        <v/>
      </c>
      <c r="Y42" s="68" t="str">
        <f t="shared" ca="1" si="10"/>
        <v/>
      </c>
      <c r="AA42" s="44"/>
      <c r="AB42" s="588" t="str">
        <f t="shared" ca="1" si="15"/>
        <v>-</v>
      </c>
      <c r="AD42" s="165"/>
    </row>
    <row r="43" spans="3:30">
      <c r="C43" s="61" t="e">
        <f t="shared" si="11"/>
        <v>#VALUE!</v>
      </c>
      <c r="D43" s="108" t="str">
        <f t="shared" ref="D43:D74" si="16">IFERROR(IF($C43="","",(Design_Drop-((PI()/1000)*((_xlfn.SINGLE(Tube_Rotations)-_xlfn.SINGLE(LiveData_TT_Rotations))*(Tube_OD+i_pwa*2*Fabric_Thickness)+Fabric_Thickness*(_xlfn.SINGLE(Tube_Rotations)-_xlfn.SINGLE(LiveData_TT_Rotations))^2)))),"")</f>
        <v/>
      </c>
      <c r="E43" s="57"/>
      <c r="F43" s="65" t="str">
        <f t="shared" ref="F43:F74" si="17">IFERROR(IF($C43="","",g*(wb_Ballast_UnitMass*Design_Width_Total+Fabric_UnitMass_Total*LiveData_Lift_Height)),"")</f>
        <v/>
      </c>
      <c r="G43" s="65" t="str">
        <f t="shared" si="13"/>
        <v/>
      </c>
      <c r="H43" s="68" t="str" cm="1">
        <f t="array" ref="H43">IFERROR(IF($C43="","",(o_RollDiameter*0.5)-Fabric_Thickness*C43),"")</f>
        <v/>
      </c>
      <c r="I43" s="57"/>
      <c r="K43" s="65" t="str">
        <f t="shared" ref="K43:K74" si="18">IFERROR(Friction_Clutch_Coeff*F43,"")</f>
        <v/>
      </c>
      <c r="L43" s="65" t="str">
        <f t="shared" ref="L43:L74" si="19">IFERROR(K43*(Friction_Clutch_Dia/2/1000)*Friction_Multiplier,"")</f>
        <v/>
      </c>
      <c r="M43" s="68"/>
      <c r="O43" s="164" t="str">
        <f t="shared" ref="O43:O74" si="20">IFERROR(IF($C43="","",F43*H43/1000),"")</f>
        <v/>
      </c>
      <c r="P43" s="65" t="str">
        <f t="shared" ref="P43:P74" si="21">IFERROR(IF($C43="","",(O43/$P$8)+Control_Friction+IF(Friction=1,L43,0)),"")</f>
        <v/>
      </c>
      <c r="Q43" s="65" t="str">
        <f t="shared" ref="Q43:Q74" si="22">IFERROR(IF($C43="","",(P43/((Control_D/1000)/2))/9.81),"")</f>
        <v/>
      </c>
      <c r="R43" s="66" t="str">
        <f t="shared" ref="R43:R74" si="23">IFERROR(IF($C43="","",(Control_Friction/(Control_D/2/1000))/9.81),"")</f>
        <v/>
      </c>
      <c r="S43" s="77"/>
      <c r="U43" s="125" t="str">
        <f t="shared" ref="U43:U74" ca="1" si="24">IFERROR((Booster_k*(Booster_Preturns+LiveData_TT_Rotations)),"")</f>
        <v/>
      </c>
      <c r="V43" s="160" t="str">
        <f t="shared" ref="V43:V74" ca="1" si="25">IFERROR(O43-U43,"")</f>
        <v/>
      </c>
      <c r="W43" s="62" t="str">
        <f t="shared" ref="W43:W74" si="26">IFERROR(IF($C43="","",IF(V43&lt;0,Control_Friction+IF(Friction=1,L43,0),(V43/Control_Ratio)+Control_Friction+IF(Friction=1,L43,0))),"")</f>
        <v/>
      </c>
      <c r="X43" s="65" t="str">
        <f t="shared" ref="X43:X74" si="27">IFERROR(IF($C43="","",(W43/((Control_D/1000)/2))/9.81),"")</f>
        <v/>
      </c>
      <c r="Y43" s="68" t="str">
        <f t="shared" ref="Y43:Y74" ca="1" si="28">IFERROR((IF(U43-O43&lt;0,Control_Friction,((U43-O43)+Control_Friction))/(Control_D/1000/2))/9.81,"")</f>
        <v/>
      </c>
      <c r="AA43" s="44"/>
      <c r="AB43" s="588" t="str">
        <f t="shared" ca="1" si="15"/>
        <v>-</v>
      </c>
      <c r="AD43" s="165"/>
    </row>
    <row r="44" spans="3:30">
      <c r="C44" s="61" t="e">
        <f t="shared" ref="C44:C75" si="29">_xlfn.SINGLE(IF(C43&lt;_xlfn.SINGLE(Tube_Rotations),IF(C43+LiveData_Increment&gt;_xlfn.SINGLE(Tube_Rotations),Tube_Rotations,C43+LiveData_Increment),#N/A))</f>
        <v>#VALUE!</v>
      </c>
      <c r="D44" s="108" t="str">
        <f t="shared" si="16"/>
        <v/>
      </c>
      <c r="E44" s="57"/>
      <c r="F44" s="62" t="str">
        <f t="shared" si="17"/>
        <v/>
      </c>
      <c r="G44" s="65" t="str">
        <f t="shared" si="13"/>
        <v/>
      </c>
      <c r="H44" s="68" t="str" cm="1">
        <f t="array" ref="H44">IFERROR(IF($C44="","",(o_RollDiameter*0.5)-Fabric_Thickness*C44),"")</f>
        <v/>
      </c>
      <c r="I44" s="57"/>
      <c r="K44" s="62" t="str">
        <f t="shared" si="18"/>
        <v/>
      </c>
      <c r="L44" s="65" t="str">
        <f t="shared" si="19"/>
        <v/>
      </c>
      <c r="M44" s="68"/>
      <c r="O44" s="163" t="str">
        <f t="shared" si="20"/>
        <v/>
      </c>
      <c r="P44" s="62" t="str">
        <f t="shared" si="21"/>
        <v/>
      </c>
      <c r="Q44" s="62" t="str">
        <f t="shared" si="22"/>
        <v/>
      </c>
      <c r="R44" s="63" t="str">
        <f t="shared" si="23"/>
        <v/>
      </c>
      <c r="S44" s="77"/>
      <c r="U44" s="125" t="str">
        <f t="shared" ca="1" si="24"/>
        <v/>
      </c>
      <c r="V44" s="160" t="str">
        <f t="shared" ca="1" si="25"/>
        <v/>
      </c>
      <c r="W44" s="62" t="str">
        <f t="shared" si="26"/>
        <v/>
      </c>
      <c r="X44" s="65" t="str">
        <f t="shared" si="27"/>
        <v/>
      </c>
      <c r="Y44" s="68" t="str">
        <f t="shared" ca="1" si="28"/>
        <v/>
      </c>
      <c r="AA44" s="44"/>
      <c r="AB44" s="588" t="str">
        <f t="shared" ca="1" si="15"/>
        <v>-</v>
      </c>
      <c r="AD44" s="165"/>
    </row>
    <row r="45" spans="3:30">
      <c r="C45" s="61" t="e">
        <f t="shared" si="29"/>
        <v>#VALUE!</v>
      </c>
      <c r="D45" s="108" t="str">
        <f t="shared" si="16"/>
        <v/>
      </c>
      <c r="E45" s="57"/>
      <c r="F45" s="65" t="str">
        <f t="shared" si="17"/>
        <v/>
      </c>
      <c r="G45" s="65" t="str">
        <f t="shared" si="13"/>
        <v/>
      </c>
      <c r="H45" s="68" t="str" cm="1">
        <f t="array" ref="H45">IFERROR(IF($C45="","",(o_RollDiameter*0.5)-Fabric_Thickness*C45),"")</f>
        <v/>
      </c>
      <c r="I45" s="57"/>
      <c r="K45" s="65" t="str">
        <f t="shared" si="18"/>
        <v/>
      </c>
      <c r="L45" s="65" t="str">
        <f t="shared" si="19"/>
        <v/>
      </c>
      <c r="M45" s="68"/>
      <c r="O45" s="67" t="str">
        <f t="shared" si="20"/>
        <v/>
      </c>
      <c r="P45" s="65" t="str">
        <f t="shared" si="21"/>
        <v/>
      </c>
      <c r="Q45" s="65" t="str">
        <f t="shared" si="22"/>
        <v/>
      </c>
      <c r="R45" s="66" t="str">
        <f t="shared" si="23"/>
        <v/>
      </c>
      <c r="S45" s="77"/>
      <c r="U45" s="125" t="str">
        <f t="shared" ca="1" si="24"/>
        <v/>
      </c>
      <c r="V45" s="122" t="str">
        <f t="shared" ca="1" si="25"/>
        <v/>
      </c>
      <c r="W45" s="62" t="str">
        <f t="shared" si="26"/>
        <v/>
      </c>
      <c r="X45" s="65" t="str">
        <f t="shared" si="27"/>
        <v/>
      </c>
      <c r="Y45" s="68" t="str">
        <f t="shared" ca="1" si="28"/>
        <v/>
      </c>
      <c r="AA45" s="44"/>
      <c r="AB45" s="588" t="str">
        <f t="shared" ca="1" si="15"/>
        <v>-</v>
      </c>
    </row>
    <row r="46" spans="3:30">
      <c r="C46" s="61" t="e">
        <f t="shared" si="29"/>
        <v>#VALUE!</v>
      </c>
      <c r="D46" s="108" t="str">
        <f t="shared" si="16"/>
        <v/>
      </c>
      <c r="E46" s="57"/>
      <c r="F46" s="62" t="str">
        <f t="shared" si="17"/>
        <v/>
      </c>
      <c r="G46" s="65" t="str">
        <f t="shared" si="13"/>
        <v/>
      </c>
      <c r="H46" s="68" t="str" cm="1">
        <f t="array" ref="H46">IFERROR(IF($C46="","",(o_RollDiameter*0.5)-Fabric_Thickness*C46),"")</f>
        <v/>
      </c>
      <c r="I46" s="57"/>
      <c r="K46" s="62" t="str">
        <f t="shared" si="18"/>
        <v/>
      </c>
      <c r="L46" s="65" t="str">
        <f t="shared" si="19"/>
        <v/>
      </c>
      <c r="M46" s="68"/>
      <c r="O46" s="64" t="str">
        <f t="shared" si="20"/>
        <v/>
      </c>
      <c r="P46" s="62" t="str">
        <f t="shared" si="21"/>
        <v/>
      </c>
      <c r="Q46" s="62" t="str">
        <f t="shared" si="22"/>
        <v/>
      </c>
      <c r="R46" s="63" t="str">
        <f t="shared" si="23"/>
        <v/>
      </c>
      <c r="S46" s="77"/>
      <c r="U46" s="125" t="str">
        <f t="shared" ca="1" si="24"/>
        <v/>
      </c>
      <c r="V46" s="122" t="str">
        <f t="shared" ca="1" si="25"/>
        <v/>
      </c>
      <c r="W46" s="62" t="str">
        <f t="shared" si="26"/>
        <v/>
      </c>
      <c r="X46" s="65" t="str">
        <f t="shared" si="27"/>
        <v/>
      </c>
      <c r="Y46" s="68" t="str">
        <f t="shared" ca="1" si="28"/>
        <v/>
      </c>
      <c r="AA46" s="44"/>
      <c r="AB46" s="588" t="str">
        <f t="shared" ca="1" si="15"/>
        <v>-</v>
      </c>
    </row>
    <row r="47" spans="3:30">
      <c r="C47" s="61" t="e">
        <f t="shared" si="29"/>
        <v>#VALUE!</v>
      </c>
      <c r="D47" s="108" t="str">
        <f t="shared" si="16"/>
        <v/>
      </c>
      <c r="E47" s="57"/>
      <c r="F47" s="65" t="str">
        <f t="shared" si="17"/>
        <v/>
      </c>
      <c r="G47" s="65" t="str">
        <f t="shared" si="13"/>
        <v/>
      </c>
      <c r="H47" s="68" t="str" cm="1">
        <f t="array" ref="H47">IFERROR(IF($C47="","",(o_RollDiameter*0.5)-Fabric_Thickness*C47),"")</f>
        <v/>
      </c>
      <c r="I47" s="57"/>
      <c r="K47" s="65" t="str">
        <f t="shared" si="18"/>
        <v/>
      </c>
      <c r="L47" s="65" t="str">
        <f t="shared" si="19"/>
        <v/>
      </c>
      <c r="M47" s="68"/>
      <c r="O47" s="67" t="str">
        <f t="shared" si="20"/>
        <v/>
      </c>
      <c r="P47" s="65" t="str">
        <f t="shared" si="21"/>
        <v/>
      </c>
      <c r="Q47" s="65" t="str">
        <f t="shared" si="22"/>
        <v/>
      </c>
      <c r="R47" s="66" t="str">
        <f t="shared" si="23"/>
        <v/>
      </c>
      <c r="S47" s="77"/>
      <c r="U47" s="125" t="str">
        <f t="shared" ca="1" si="24"/>
        <v/>
      </c>
      <c r="V47" s="122" t="str">
        <f t="shared" ca="1" si="25"/>
        <v/>
      </c>
      <c r="W47" s="62" t="str">
        <f t="shared" si="26"/>
        <v/>
      </c>
      <c r="X47" s="65" t="str">
        <f t="shared" si="27"/>
        <v/>
      </c>
      <c r="Y47" s="68" t="str">
        <f t="shared" ca="1" si="28"/>
        <v/>
      </c>
      <c r="AA47" s="44"/>
      <c r="AB47" s="588" t="str">
        <f t="shared" ca="1" si="15"/>
        <v>-</v>
      </c>
    </row>
    <row r="48" spans="3:30">
      <c r="C48" s="61" t="e">
        <f t="shared" si="29"/>
        <v>#VALUE!</v>
      </c>
      <c r="D48" s="108" t="str">
        <f t="shared" si="16"/>
        <v/>
      </c>
      <c r="E48" s="57"/>
      <c r="F48" s="62" t="str">
        <f t="shared" si="17"/>
        <v/>
      </c>
      <c r="G48" s="65" t="str">
        <f t="shared" si="13"/>
        <v/>
      </c>
      <c r="H48" s="68" t="str" cm="1">
        <f t="array" ref="H48">IFERROR(IF($C48="","",(o_RollDiameter*0.5)-Fabric_Thickness*C48),"")</f>
        <v/>
      </c>
      <c r="I48" s="57"/>
      <c r="K48" s="62" t="str">
        <f t="shared" si="18"/>
        <v/>
      </c>
      <c r="L48" s="65" t="str">
        <f t="shared" si="19"/>
        <v/>
      </c>
      <c r="M48" s="68"/>
      <c r="O48" s="64" t="str">
        <f t="shared" si="20"/>
        <v/>
      </c>
      <c r="P48" s="62" t="str">
        <f t="shared" si="21"/>
        <v/>
      </c>
      <c r="Q48" s="62" t="str">
        <f t="shared" si="22"/>
        <v/>
      </c>
      <c r="R48" s="63" t="str">
        <f t="shared" si="23"/>
        <v/>
      </c>
      <c r="S48" s="77"/>
      <c r="U48" s="125" t="str">
        <f t="shared" ca="1" si="24"/>
        <v/>
      </c>
      <c r="V48" s="122" t="str">
        <f t="shared" ca="1" si="25"/>
        <v/>
      </c>
      <c r="W48" s="62" t="str">
        <f t="shared" si="26"/>
        <v/>
      </c>
      <c r="X48" s="65" t="str">
        <f t="shared" si="27"/>
        <v/>
      </c>
      <c r="Y48" s="68" t="str">
        <f t="shared" ca="1" si="28"/>
        <v/>
      </c>
      <c r="AA48" s="44"/>
      <c r="AB48" s="588" t="str">
        <f t="shared" ca="1" si="15"/>
        <v>-</v>
      </c>
    </row>
    <row r="49" spans="3:28">
      <c r="C49" s="61" t="e">
        <f t="shared" si="29"/>
        <v>#VALUE!</v>
      </c>
      <c r="D49" s="108" t="str">
        <f t="shared" si="16"/>
        <v/>
      </c>
      <c r="E49" s="57"/>
      <c r="F49" s="65" t="str">
        <f t="shared" si="17"/>
        <v/>
      </c>
      <c r="G49" s="65" t="str">
        <f t="shared" si="13"/>
        <v/>
      </c>
      <c r="H49" s="68" t="str" cm="1">
        <f t="array" ref="H49">IFERROR(IF($C49="","",(o_RollDiameter*0.5)-Fabric_Thickness*C49),"")</f>
        <v/>
      </c>
      <c r="I49" s="57"/>
      <c r="K49" s="65" t="str">
        <f t="shared" si="18"/>
        <v/>
      </c>
      <c r="L49" s="65" t="str">
        <f t="shared" si="19"/>
        <v/>
      </c>
      <c r="M49" s="68"/>
      <c r="O49" s="67" t="str">
        <f t="shared" si="20"/>
        <v/>
      </c>
      <c r="P49" s="65" t="str">
        <f t="shared" si="21"/>
        <v/>
      </c>
      <c r="Q49" s="65" t="str">
        <f t="shared" si="22"/>
        <v/>
      </c>
      <c r="R49" s="66" t="str">
        <f t="shared" si="23"/>
        <v/>
      </c>
      <c r="S49" s="77"/>
      <c r="U49" s="125" t="str">
        <f t="shared" ca="1" si="24"/>
        <v/>
      </c>
      <c r="V49" s="122" t="str">
        <f t="shared" ca="1" si="25"/>
        <v/>
      </c>
      <c r="W49" s="62" t="str">
        <f t="shared" si="26"/>
        <v/>
      </c>
      <c r="X49" s="65" t="str">
        <f t="shared" si="27"/>
        <v/>
      </c>
      <c r="Y49" s="68" t="str">
        <f t="shared" ca="1" si="28"/>
        <v/>
      </c>
      <c r="AA49" s="44"/>
      <c r="AB49" s="588" t="str">
        <f t="shared" ca="1" si="15"/>
        <v>-</v>
      </c>
    </row>
    <row r="50" spans="3:28">
      <c r="C50" s="61" t="e">
        <f t="shared" si="29"/>
        <v>#VALUE!</v>
      </c>
      <c r="D50" s="108" t="str">
        <f t="shared" si="16"/>
        <v/>
      </c>
      <c r="E50" s="57"/>
      <c r="F50" s="62" t="str">
        <f t="shared" si="17"/>
        <v/>
      </c>
      <c r="G50" s="65" t="str">
        <f t="shared" si="13"/>
        <v/>
      </c>
      <c r="H50" s="68" t="str" cm="1">
        <f t="array" ref="H50">IFERROR(IF($C50="","",(o_RollDiameter*0.5)-Fabric_Thickness*C50),"")</f>
        <v/>
      </c>
      <c r="I50" s="57"/>
      <c r="K50" s="62" t="str">
        <f t="shared" si="18"/>
        <v/>
      </c>
      <c r="L50" s="65" t="str">
        <f t="shared" si="19"/>
        <v/>
      </c>
      <c r="M50" s="68"/>
      <c r="O50" s="64" t="str">
        <f t="shared" si="20"/>
        <v/>
      </c>
      <c r="P50" s="62" t="str">
        <f t="shared" si="21"/>
        <v/>
      </c>
      <c r="Q50" s="62" t="str">
        <f t="shared" si="22"/>
        <v/>
      </c>
      <c r="R50" s="63" t="str">
        <f t="shared" si="23"/>
        <v/>
      </c>
      <c r="S50" s="77"/>
      <c r="U50" s="125" t="str">
        <f t="shared" ca="1" si="24"/>
        <v/>
      </c>
      <c r="V50" s="122" t="str">
        <f t="shared" ca="1" si="25"/>
        <v/>
      </c>
      <c r="W50" s="62" t="str">
        <f t="shared" si="26"/>
        <v/>
      </c>
      <c r="X50" s="65" t="str">
        <f t="shared" si="27"/>
        <v/>
      </c>
      <c r="Y50" s="68" t="str">
        <f t="shared" ca="1" si="28"/>
        <v/>
      </c>
      <c r="AA50" s="44"/>
      <c r="AB50" s="588" t="str">
        <f t="shared" ca="1" si="15"/>
        <v>-</v>
      </c>
    </row>
    <row r="51" spans="3:28">
      <c r="C51" s="61" t="e">
        <f t="shared" si="29"/>
        <v>#VALUE!</v>
      </c>
      <c r="D51" s="108" t="str">
        <f t="shared" si="16"/>
        <v/>
      </c>
      <c r="E51" s="57"/>
      <c r="F51" s="65" t="str">
        <f t="shared" si="17"/>
        <v/>
      </c>
      <c r="G51" s="65" t="str">
        <f t="shared" si="13"/>
        <v/>
      </c>
      <c r="H51" s="68" t="str" cm="1">
        <f t="array" ref="H51">IFERROR(IF($C51="","",(o_RollDiameter*0.5)-Fabric_Thickness*C51),"")</f>
        <v/>
      </c>
      <c r="I51" s="57"/>
      <c r="K51" s="65" t="str">
        <f t="shared" si="18"/>
        <v/>
      </c>
      <c r="L51" s="65" t="str">
        <f t="shared" si="19"/>
        <v/>
      </c>
      <c r="M51" s="68"/>
      <c r="O51" s="67" t="str">
        <f t="shared" si="20"/>
        <v/>
      </c>
      <c r="P51" s="65" t="str">
        <f t="shared" si="21"/>
        <v/>
      </c>
      <c r="Q51" s="65" t="str">
        <f t="shared" si="22"/>
        <v/>
      </c>
      <c r="R51" s="66" t="str">
        <f t="shared" si="23"/>
        <v/>
      </c>
      <c r="S51" s="77"/>
      <c r="U51" s="125" t="str">
        <f t="shared" ca="1" si="24"/>
        <v/>
      </c>
      <c r="V51" s="122" t="str">
        <f t="shared" ca="1" si="25"/>
        <v/>
      </c>
      <c r="W51" s="62" t="str">
        <f t="shared" si="26"/>
        <v/>
      </c>
      <c r="X51" s="65" t="str">
        <f t="shared" si="27"/>
        <v/>
      </c>
      <c r="Y51" s="68" t="str">
        <f t="shared" ca="1" si="28"/>
        <v/>
      </c>
      <c r="AA51" s="44"/>
      <c r="AB51" s="588" t="str">
        <f t="shared" ca="1" si="15"/>
        <v>-</v>
      </c>
    </row>
    <row r="52" spans="3:28">
      <c r="C52" s="61" t="e">
        <f t="shared" si="29"/>
        <v>#VALUE!</v>
      </c>
      <c r="D52" s="108" t="str">
        <f t="shared" si="16"/>
        <v/>
      </c>
      <c r="E52" s="57"/>
      <c r="F52" s="62" t="str">
        <f t="shared" si="17"/>
        <v/>
      </c>
      <c r="G52" s="65" t="str">
        <f t="shared" si="13"/>
        <v/>
      </c>
      <c r="H52" s="68" t="str" cm="1">
        <f t="array" ref="H52">IFERROR(IF($C52="","",(o_RollDiameter*0.5)-Fabric_Thickness*C52),"")</f>
        <v/>
      </c>
      <c r="I52" s="57"/>
      <c r="K52" s="62" t="str">
        <f t="shared" si="18"/>
        <v/>
      </c>
      <c r="L52" s="65" t="str">
        <f t="shared" si="19"/>
        <v/>
      </c>
      <c r="M52" s="68"/>
      <c r="O52" s="64" t="str">
        <f t="shared" si="20"/>
        <v/>
      </c>
      <c r="P52" s="62" t="str">
        <f t="shared" si="21"/>
        <v/>
      </c>
      <c r="Q52" s="62" t="str">
        <f t="shared" si="22"/>
        <v/>
      </c>
      <c r="R52" s="63" t="str">
        <f t="shared" si="23"/>
        <v/>
      </c>
      <c r="S52" s="77"/>
      <c r="U52" s="125" t="str">
        <f t="shared" ca="1" si="24"/>
        <v/>
      </c>
      <c r="V52" s="122" t="str">
        <f t="shared" ca="1" si="25"/>
        <v/>
      </c>
      <c r="W52" s="62" t="str">
        <f t="shared" si="26"/>
        <v/>
      </c>
      <c r="X52" s="65" t="str">
        <f t="shared" si="27"/>
        <v/>
      </c>
      <c r="Y52" s="68" t="str">
        <f t="shared" ca="1" si="28"/>
        <v/>
      </c>
      <c r="AA52" s="44"/>
      <c r="AB52" s="588" t="str">
        <f t="shared" ca="1" si="15"/>
        <v>-</v>
      </c>
    </row>
    <row r="53" spans="3:28">
      <c r="C53" s="61" t="e">
        <f t="shared" si="29"/>
        <v>#VALUE!</v>
      </c>
      <c r="D53" s="108" t="str">
        <f t="shared" si="16"/>
        <v/>
      </c>
      <c r="E53" s="57"/>
      <c r="F53" s="65" t="str">
        <f t="shared" si="17"/>
        <v/>
      </c>
      <c r="G53" s="65" t="str">
        <f t="shared" si="13"/>
        <v/>
      </c>
      <c r="H53" s="68" t="str" cm="1">
        <f t="array" ref="H53">IFERROR(IF($C53="","",(o_RollDiameter*0.5)-Fabric_Thickness*C53),"")</f>
        <v/>
      </c>
      <c r="I53" s="57"/>
      <c r="K53" s="65" t="str">
        <f t="shared" si="18"/>
        <v/>
      </c>
      <c r="L53" s="65" t="str">
        <f t="shared" si="19"/>
        <v/>
      </c>
      <c r="M53" s="68"/>
      <c r="O53" s="67" t="str">
        <f t="shared" si="20"/>
        <v/>
      </c>
      <c r="P53" s="65" t="str">
        <f t="shared" si="21"/>
        <v/>
      </c>
      <c r="Q53" s="65" t="str">
        <f t="shared" si="22"/>
        <v/>
      </c>
      <c r="R53" s="66" t="str">
        <f t="shared" si="23"/>
        <v/>
      </c>
      <c r="S53" s="77"/>
      <c r="U53" s="125" t="str">
        <f t="shared" ca="1" si="24"/>
        <v/>
      </c>
      <c r="V53" s="122" t="str">
        <f t="shared" ca="1" si="25"/>
        <v/>
      </c>
      <c r="W53" s="62" t="str">
        <f t="shared" si="26"/>
        <v/>
      </c>
      <c r="X53" s="65" t="str">
        <f t="shared" si="27"/>
        <v/>
      </c>
      <c r="Y53" s="68" t="str">
        <f t="shared" ca="1" si="28"/>
        <v/>
      </c>
      <c r="AA53" s="44"/>
      <c r="AB53" s="588" t="str">
        <f t="shared" ca="1" si="15"/>
        <v>-</v>
      </c>
    </row>
    <row r="54" spans="3:28">
      <c r="C54" s="61" t="e">
        <f t="shared" si="29"/>
        <v>#VALUE!</v>
      </c>
      <c r="D54" s="108" t="str">
        <f t="shared" si="16"/>
        <v/>
      </c>
      <c r="E54" s="57"/>
      <c r="F54" s="62" t="str">
        <f t="shared" si="17"/>
        <v/>
      </c>
      <c r="G54" s="65" t="str">
        <f t="shared" si="13"/>
        <v/>
      </c>
      <c r="H54" s="68" t="str" cm="1">
        <f t="array" ref="H54">IFERROR(IF($C54="","",(o_RollDiameter*0.5)-Fabric_Thickness*C54),"")</f>
        <v/>
      </c>
      <c r="I54" s="57"/>
      <c r="K54" s="62" t="str">
        <f t="shared" si="18"/>
        <v/>
      </c>
      <c r="L54" s="65" t="str">
        <f t="shared" si="19"/>
        <v/>
      </c>
      <c r="M54" s="68"/>
      <c r="O54" s="64" t="str">
        <f t="shared" si="20"/>
        <v/>
      </c>
      <c r="P54" s="62" t="str">
        <f t="shared" si="21"/>
        <v/>
      </c>
      <c r="Q54" s="62" t="str">
        <f t="shared" si="22"/>
        <v/>
      </c>
      <c r="R54" s="63" t="str">
        <f t="shared" si="23"/>
        <v/>
      </c>
      <c r="S54" s="77"/>
      <c r="U54" s="125" t="str">
        <f t="shared" ca="1" si="24"/>
        <v/>
      </c>
      <c r="V54" s="122" t="str">
        <f t="shared" ca="1" si="25"/>
        <v/>
      </c>
      <c r="W54" s="62" t="str">
        <f t="shared" si="26"/>
        <v/>
      </c>
      <c r="X54" s="65" t="str">
        <f t="shared" si="27"/>
        <v/>
      </c>
      <c r="Y54" s="68" t="str">
        <f t="shared" ca="1" si="28"/>
        <v/>
      </c>
      <c r="AA54" s="44"/>
      <c r="AB54" s="588" t="str">
        <f t="shared" ca="1" si="15"/>
        <v>-</v>
      </c>
    </row>
    <row r="55" spans="3:28">
      <c r="C55" s="61" t="e">
        <f t="shared" si="29"/>
        <v>#VALUE!</v>
      </c>
      <c r="D55" s="108" t="str">
        <f t="shared" si="16"/>
        <v/>
      </c>
      <c r="E55" s="57"/>
      <c r="F55" s="65" t="str">
        <f t="shared" si="17"/>
        <v/>
      </c>
      <c r="G55" s="65" t="str">
        <f t="shared" si="13"/>
        <v/>
      </c>
      <c r="H55" s="68" t="str" cm="1">
        <f t="array" ref="H55">IFERROR(IF($C55="","",(o_RollDiameter*0.5)-Fabric_Thickness*C55),"")</f>
        <v/>
      </c>
      <c r="I55" s="57"/>
      <c r="K55" s="65" t="str">
        <f t="shared" si="18"/>
        <v/>
      </c>
      <c r="L55" s="65" t="str">
        <f t="shared" si="19"/>
        <v/>
      </c>
      <c r="M55" s="68"/>
      <c r="O55" s="67" t="str">
        <f t="shared" si="20"/>
        <v/>
      </c>
      <c r="P55" s="65" t="str">
        <f t="shared" si="21"/>
        <v/>
      </c>
      <c r="Q55" s="65" t="str">
        <f t="shared" si="22"/>
        <v/>
      </c>
      <c r="R55" s="66" t="str">
        <f t="shared" si="23"/>
        <v/>
      </c>
      <c r="S55" s="77"/>
      <c r="U55" s="125" t="str">
        <f t="shared" ca="1" si="24"/>
        <v/>
      </c>
      <c r="V55" s="122" t="str">
        <f t="shared" ca="1" si="25"/>
        <v/>
      </c>
      <c r="W55" s="62" t="str">
        <f t="shared" si="26"/>
        <v/>
      </c>
      <c r="X55" s="65" t="str">
        <f t="shared" si="27"/>
        <v/>
      </c>
      <c r="Y55" s="68" t="str">
        <f t="shared" ca="1" si="28"/>
        <v/>
      </c>
      <c r="AA55" s="44"/>
      <c r="AB55" s="588" t="str">
        <f t="shared" ca="1" si="15"/>
        <v>-</v>
      </c>
    </row>
    <row r="56" spans="3:28">
      <c r="C56" s="61" t="e">
        <f t="shared" si="29"/>
        <v>#VALUE!</v>
      </c>
      <c r="D56" s="108" t="str">
        <f t="shared" si="16"/>
        <v/>
      </c>
      <c r="E56" s="57"/>
      <c r="F56" s="62" t="str">
        <f t="shared" si="17"/>
        <v/>
      </c>
      <c r="G56" s="65" t="str">
        <f t="shared" si="13"/>
        <v/>
      </c>
      <c r="H56" s="68" t="str" cm="1">
        <f t="array" ref="H56">IFERROR(IF($C56="","",(o_RollDiameter*0.5)-Fabric_Thickness*C56),"")</f>
        <v/>
      </c>
      <c r="I56" s="57"/>
      <c r="K56" s="62" t="str">
        <f t="shared" si="18"/>
        <v/>
      </c>
      <c r="L56" s="65" t="str">
        <f t="shared" si="19"/>
        <v/>
      </c>
      <c r="M56" s="68"/>
      <c r="O56" s="64" t="str">
        <f t="shared" si="20"/>
        <v/>
      </c>
      <c r="P56" s="62" t="str">
        <f t="shared" si="21"/>
        <v/>
      </c>
      <c r="Q56" s="62" t="str">
        <f t="shared" si="22"/>
        <v/>
      </c>
      <c r="R56" s="63" t="str">
        <f t="shared" si="23"/>
        <v/>
      </c>
      <c r="S56" s="77"/>
      <c r="U56" s="125" t="str">
        <f t="shared" ca="1" si="24"/>
        <v/>
      </c>
      <c r="V56" s="122" t="str">
        <f t="shared" ca="1" si="25"/>
        <v/>
      </c>
      <c r="W56" s="62" t="str">
        <f t="shared" si="26"/>
        <v/>
      </c>
      <c r="X56" s="65" t="str">
        <f t="shared" si="27"/>
        <v/>
      </c>
      <c r="Y56" s="68" t="str">
        <f t="shared" ca="1" si="28"/>
        <v/>
      </c>
      <c r="AA56" s="44"/>
      <c r="AB56" s="588" t="str">
        <f t="shared" ca="1" si="15"/>
        <v>-</v>
      </c>
    </row>
    <row r="57" spans="3:28">
      <c r="C57" s="61" t="e">
        <f t="shared" si="29"/>
        <v>#VALUE!</v>
      </c>
      <c r="D57" s="108" t="str">
        <f t="shared" si="16"/>
        <v/>
      </c>
      <c r="E57" s="57"/>
      <c r="F57" s="65" t="str">
        <f t="shared" si="17"/>
        <v/>
      </c>
      <c r="G57" s="65" t="str">
        <f t="shared" si="13"/>
        <v/>
      </c>
      <c r="H57" s="68" t="str" cm="1">
        <f t="array" ref="H57">IFERROR(IF($C57="","",(o_RollDiameter*0.5)-Fabric_Thickness*C57),"")</f>
        <v/>
      </c>
      <c r="I57" s="57"/>
      <c r="K57" s="65" t="str">
        <f t="shared" si="18"/>
        <v/>
      </c>
      <c r="L57" s="65" t="str">
        <f t="shared" si="19"/>
        <v/>
      </c>
      <c r="M57" s="68"/>
      <c r="O57" s="67" t="str">
        <f t="shared" si="20"/>
        <v/>
      </c>
      <c r="P57" s="65" t="str">
        <f t="shared" si="21"/>
        <v/>
      </c>
      <c r="Q57" s="65" t="str">
        <f t="shared" si="22"/>
        <v/>
      </c>
      <c r="R57" s="66" t="str">
        <f t="shared" si="23"/>
        <v/>
      </c>
      <c r="S57" s="77"/>
      <c r="U57" s="125" t="str">
        <f t="shared" ca="1" si="24"/>
        <v/>
      </c>
      <c r="V57" s="122" t="str">
        <f t="shared" ca="1" si="25"/>
        <v/>
      </c>
      <c r="W57" s="62" t="str">
        <f t="shared" si="26"/>
        <v/>
      </c>
      <c r="X57" s="65" t="str">
        <f t="shared" si="27"/>
        <v/>
      </c>
      <c r="Y57" s="68" t="str">
        <f t="shared" ca="1" si="28"/>
        <v/>
      </c>
      <c r="AA57" s="44"/>
      <c r="AB57" s="588" t="str">
        <f t="shared" ca="1" si="15"/>
        <v>-</v>
      </c>
    </row>
    <row r="58" spans="3:28">
      <c r="C58" s="61" t="e">
        <f t="shared" si="29"/>
        <v>#VALUE!</v>
      </c>
      <c r="D58" s="108" t="str">
        <f t="shared" si="16"/>
        <v/>
      </c>
      <c r="E58" s="57"/>
      <c r="F58" s="62" t="str">
        <f t="shared" si="17"/>
        <v/>
      </c>
      <c r="G58" s="65" t="str">
        <f t="shared" si="13"/>
        <v/>
      </c>
      <c r="H58" s="68" t="str" cm="1">
        <f t="array" ref="H58">IFERROR(IF($C58="","",(o_RollDiameter*0.5)-Fabric_Thickness*C58),"")</f>
        <v/>
      </c>
      <c r="I58" s="57"/>
      <c r="K58" s="62" t="str">
        <f t="shared" si="18"/>
        <v/>
      </c>
      <c r="L58" s="65" t="str">
        <f t="shared" si="19"/>
        <v/>
      </c>
      <c r="M58" s="68"/>
      <c r="O58" s="64" t="str">
        <f t="shared" si="20"/>
        <v/>
      </c>
      <c r="P58" s="62" t="str">
        <f t="shared" si="21"/>
        <v/>
      </c>
      <c r="Q58" s="62" t="str">
        <f t="shared" si="22"/>
        <v/>
      </c>
      <c r="R58" s="63" t="str">
        <f t="shared" si="23"/>
        <v/>
      </c>
      <c r="S58" s="77"/>
      <c r="U58" s="125" t="str">
        <f t="shared" ca="1" si="24"/>
        <v/>
      </c>
      <c r="V58" s="122" t="str">
        <f t="shared" ca="1" si="25"/>
        <v/>
      </c>
      <c r="W58" s="62" t="str">
        <f t="shared" si="26"/>
        <v/>
      </c>
      <c r="X58" s="65" t="str">
        <f t="shared" si="27"/>
        <v/>
      </c>
      <c r="Y58" s="68" t="str">
        <f t="shared" ca="1" si="28"/>
        <v/>
      </c>
      <c r="AA58" s="44"/>
      <c r="AB58" s="588" t="str">
        <f t="shared" ca="1" si="15"/>
        <v>-</v>
      </c>
    </row>
    <row r="59" spans="3:28">
      <c r="C59" s="61" t="e">
        <f t="shared" si="29"/>
        <v>#VALUE!</v>
      </c>
      <c r="D59" s="108" t="str">
        <f t="shared" si="16"/>
        <v/>
      </c>
      <c r="E59" s="57"/>
      <c r="F59" s="65" t="str">
        <f t="shared" si="17"/>
        <v/>
      </c>
      <c r="G59" s="65" t="str">
        <f t="shared" si="13"/>
        <v/>
      </c>
      <c r="H59" s="68" t="str" cm="1">
        <f t="array" ref="H59">IFERROR(IF($C59="","",(o_RollDiameter*0.5)-Fabric_Thickness*C59),"")</f>
        <v/>
      </c>
      <c r="I59" s="57"/>
      <c r="K59" s="65" t="str">
        <f t="shared" si="18"/>
        <v/>
      </c>
      <c r="L59" s="65" t="str">
        <f t="shared" si="19"/>
        <v/>
      </c>
      <c r="M59" s="68"/>
      <c r="O59" s="67" t="str">
        <f t="shared" si="20"/>
        <v/>
      </c>
      <c r="P59" s="65" t="str">
        <f t="shared" si="21"/>
        <v/>
      </c>
      <c r="Q59" s="65" t="str">
        <f t="shared" si="22"/>
        <v/>
      </c>
      <c r="R59" s="66" t="str">
        <f t="shared" si="23"/>
        <v/>
      </c>
      <c r="S59" s="77"/>
      <c r="U59" s="125" t="str">
        <f t="shared" ca="1" si="24"/>
        <v/>
      </c>
      <c r="V59" s="122" t="str">
        <f t="shared" ca="1" si="25"/>
        <v/>
      </c>
      <c r="W59" s="62" t="str">
        <f t="shared" si="26"/>
        <v/>
      </c>
      <c r="X59" s="65" t="str">
        <f t="shared" si="27"/>
        <v/>
      </c>
      <c r="Y59" s="68" t="str">
        <f t="shared" ca="1" si="28"/>
        <v/>
      </c>
      <c r="AA59" s="44"/>
      <c r="AB59" s="588" t="str">
        <f t="shared" ca="1" si="15"/>
        <v>-</v>
      </c>
    </row>
    <row r="60" spans="3:28">
      <c r="C60" s="61" t="e">
        <f t="shared" si="29"/>
        <v>#VALUE!</v>
      </c>
      <c r="D60" s="108" t="str">
        <f t="shared" si="16"/>
        <v/>
      </c>
      <c r="E60" s="57"/>
      <c r="F60" s="62" t="str">
        <f t="shared" si="17"/>
        <v/>
      </c>
      <c r="G60" s="65" t="str">
        <f t="shared" si="13"/>
        <v/>
      </c>
      <c r="H60" s="68" t="str" cm="1">
        <f t="array" ref="H60">IFERROR(IF($C60="","",(o_RollDiameter*0.5)-Fabric_Thickness*C60),"")</f>
        <v/>
      </c>
      <c r="I60" s="57"/>
      <c r="K60" s="62" t="str">
        <f t="shared" si="18"/>
        <v/>
      </c>
      <c r="L60" s="65" t="str">
        <f t="shared" si="19"/>
        <v/>
      </c>
      <c r="M60" s="68"/>
      <c r="O60" s="64" t="str">
        <f t="shared" si="20"/>
        <v/>
      </c>
      <c r="P60" s="62" t="str">
        <f t="shared" si="21"/>
        <v/>
      </c>
      <c r="Q60" s="62" t="str">
        <f t="shared" si="22"/>
        <v/>
      </c>
      <c r="R60" s="63" t="str">
        <f t="shared" si="23"/>
        <v/>
      </c>
      <c r="S60" s="77"/>
      <c r="U60" s="125" t="str">
        <f t="shared" ca="1" si="24"/>
        <v/>
      </c>
      <c r="V60" s="122" t="str">
        <f t="shared" ca="1" si="25"/>
        <v/>
      </c>
      <c r="W60" s="62" t="str">
        <f t="shared" si="26"/>
        <v/>
      </c>
      <c r="X60" s="65" t="str">
        <f t="shared" si="27"/>
        <v/>
      </c>
      <c r="Y60" s="68" t="str">
        <f t="shared" ca="1" si="28"/>
        <v/>
      </c>
      <c r="AA60" s="44"/>
      <c r="AB60" s="588" t="str">
        <f t="shared" ca="1" si="15"/>
        <v>-</v>
      </c>
    </row>
    <row r="61" spans="3:28">
      <c r="C61" s="61" t="e">
        <f t="shared" si="29"/>
        <v>#VALUE!</v>
      </c>
      <c r="D61" s="108" t="str">
        <f t="shared" si="16"/>
        <v/>
      </c>
      <c r="E61" s="57"/>
      <c r="F61" s="65" t="str">
        <f t="shared" si="17"/>
        <v/>
      </c>
      <c r="G61" s="65" t="str">
        <f t="shared" si="13"/>
        <v/>
      </c>
      <c r="H61" s="68" t="str" cm="1">
        <f t="array" ref="H61">IFERROR(IF($C61="","",(o_RollDiameter*0.5)-Fabric_Thickness*C61),"")</f>
        <v/>
      </c>
      <c r="I61" s="57"/>
      <c r="K61" s="65" t="str">
        <f t="shared" si="18"/>
        <v/>
      </c>
      <c r="L61" s="65" t="str">
        <f t="shared" si="19"/>
        <v/>
      </c>
      <c r="M61" s="68"/>
      <c r="O61" s="67" t="str">
        <f t="shared" si="20"/>
        <v/>
      </c>
      <c r="P61" s="65" t="str">
        <f t="shared" si="21"/>
        <v/>
      </c>
      <c r="Q61" s="65" t="str">
        <f t="shared" si="22"/>
        <v/>
      </c>
      <c r="R61" s="66" t="str">
        <f t="shared" si="23"/>
        <v/>
      </c>
      <c r="S61" s="77"/>
      <c r="U61" s="125" t="str">
        <f t="shared" ca="1" si="24"/>
        <v/>
      </c>
      <c r="V61" s="122" t="str">
        <f t="shared" ca="1" si="25"/>
        <v/>
      </c>
      <c r="W61" s="62" t="str">
        <f t="shared" si="26"/>
        <v/>
      </c>
      <c r="X61" s="65" t="str">
        <f t="shared" si="27"/>
        <v/>
      </c>
      <c r="Y61" s="68" t="str">
        <f t="shared" ca="1" si="28"/>
        <v/>
      </c>
      <c r="AA61" s="44"/>
      <c r="AB61" s="588" t="str">
        <f t="shared" ca="1" si="15"/>
        <v>-</v>
      </c>
    </row>
    <row r="62" spans="3:28">
      <c r="C62" s="61" t="e">
        <f t="shared" si="29"/>
        <v>#VALUE!</v>
      </c>
      <c r="D62" s="108" t="str">
        <f t="shared" si="16"/>
        <v/>
      </c>
      <c r="E62" s="57"/>
      <c r="F62" s="62" t="str">
        <f t="shared" si="17"/>
        <v/>
      </c>
      <c r="G62" s="65" t="str">
        <f t="shared" si="13"/>
        <v/>
      </c>
      <c r="H62" s="68" t="str" cm="1">
        <f t="array" ref="H62">IFERROR(IF($C62="","",(o_RollDiameter*0.5)-Fabric_Thickness*C62),"")</f>
        <v/>
      </c>
      <c r="I62" s="57"/>
      <c r="K62" s="62" t="str">
        <f t="shared" si="18"/>
        <v/>
      </c>
      <c r="L62" s="65" t="str">
        <f t="shared" si="19"/>
        <v/>
      </c>
      <c r="M62" s="68"/>
      <c r="O62" s="64" t="str">
        <f t="shared" si="20"/>
        <v/>
      </c>
      <c r="P62" s="62" t="str">
        <f t="shared" si="21"/>
        <v/>
      </c>
      <c r="Q62" s="62" t="str">
        <f t="shared" si="22"/>
        <v/>
      </c>
      <c r="R62" s="63" t="str">
        <f t="shared" si="23"/>
        <v/>
      </c>
      <c r="S62" s="77"/>
      <c r="U62" s="125" t="str">
        <f t="shared" ca="1" si="24"/>
        <v/>
      </c>
      <c r="V62" s="122" t="str">
        <f t="shared" ca="1" si="25"/>
        <v/>
      </c>
      <c r="W62" s="62" t="str">
        <f t="shared" si="26"/>
        <v/>
      </c>
      <c r="X62" s="65" t="str">
        <f t="shared" si="27"/>
        <v/>
      </c>
      <c r="Y62" s="68" t="str">
        <f t="shared" ca="1" si="28"/>
        <v/>
      </c>
      <c r="AA62" s="44"/>
      <c r="AB62" s="588" t="str">
        <f t="shared" ca="1" si="15"/>
        <v>-</v>
      </c>
    </row>
    <row r="63" spans="3:28">
      <c r="C63" s="61" t="e">
        <f t="shared" si="29"/>
        <v>#VALUE!</v>
      </c>
      <c r="D63" s="108" t="str">
        <f t="shared" si="16"/>
        <v/>
      </c>
      <c r="E63" s="57"/>
      <c r="F63" s="65" t="str">
        <f t="shared" si="17"/>
        <v/>
      </c>
      <c r="G63" s="65" t="str">
        <f t="shared" si="13"/>
        <v/>
      </c>
      <c r="H63" s="68" t="str" cm="1">
        <f t="array" ref="H63">IFERROR(IF($C63="","",(o_RollDiameter*0.5)-Fabric_Thickness*C63),"")</f>
        <v/>
      </c>
      <c r="I63" s="57"/>
      <c r="K63" s="65" t="str">
        <f t="shared" si="18"/>
        <v/>
      </c>
      <c r="L63" s="65" t="str">
        <f t="shared" si="19"/>
        <v/>
      </c>
      <c r="M63" s="68"/>
      <c r="O63" s="67" t="str">
        <f t="shared" si="20"/>
        <v/>
      </c>
      <c r="P63" s="65" t="str">
        <f t="shared" si="21"/>
        <v/>
      </c>
      <c r="Q63" s="65" t="str">
        <f t="shared" si="22"/>
        <v/>
      </c>
      <c r="R63" s="66" t="str">
        <f t="shared" si="23"/>
        <v/>
      </c>
      <c r="S63" s="77"/>
      <c r="U63" s="125" t="str">
        <f t="shared" ca="1" si="24"/>
        <v/>
      </c>
      <c r="V63" s="122" t="str">
        <f t="shared" ca="1" si="25"/>
        <v/>
      </c>
      <c r="W63" s="62" t="str">
        <f t="shared" si="26"/>
        <v/>
      </c>
      <c r="X63" s="65" t="str">
        <f t="shared" si="27"/>
        <v/>
      </c>
      <c r="Y63" s="68" t="str">
        <f t="shared" ca="1" si="28"/>
        <v/>
      </c>
      <c r="AA63" s="44"/>
      <c r="AB63" s="588" t="str">
        <f t="shared" ca="1" si="15"/>
        <v>-</v>
      </c>
    </row>
    <row r="64" spans="3:28">
      <c r="C64" s="61" t="e">
        <f t="shared" si="29"/>
        <v>#VALUE!</v>
      </c>
      <c r="D64" s="108" t="str">
        <f t="shared" si="16"/>
        <v/>
      </c>
      <c r="E64" s="57"/>
      <c r="F64" s="62" t="str">
        <f t="shared" si="17"/>
        <v/>
      </c>
      <c r="G64" s="65" t="str">
        <f t="shared" si="13"/>
        <v/>
      </c>
      <c r="H64" s="68" t="str" cm="1">
        <f t="array" ref="H64">IFERROR(IF($C64="","",(o_RollDiameter*0.5)-Fabric_Thickness*C64),"")</f>
        <v/>
      </c>
      <c r="I64" s="57"/>
      <c r="K64" s="62" t="str">
        <f t="shared" si="18"/>
        <v/>
      </c>
      <c r="L64" s="65" t="str">
        <f t="shared" si="19"/>
        <v/>
      </c>
      <c r="M64" s="68"/>
      <c r="O64" s="64" t="str">
        <f t="shared" si="20"/>
        <v/>
      </c>
      <c r="P64" s="62" t="str">
        <f t="shared" si="21"/>
        <v/>
      </c>
      <c r="Q64" s="62" t="str">
        <f t="shared" si="22"/>
        <v/>
      </c>
      <c r="R64" s="63" t="str">
        <f t="shared" si="23"/>
        <v/>
      </c>
      <c r="S64" s="77"/>
      <c r="U64" s="125" t="str">
        <f t="shared" ca="1" si="24"/>
        <v/>
      </c>
      <c r="V64" s="122" t="str">
        <f t="shared" ca="1" si="25"/>
        <v/>
      </c>
      <c r="W64" s="62" t="str">
        <f t="shared" si="26"/>
        <v/>
      </c>
      <c r="X64" s="65" t="str">
        <f t="shared" si="27"/>
        <v/>
      </c>
      <c r="Y64" s="68" t="str">
        <f t="shared" ca="1" si="28"/>
        <v/>
      </c>
      <c r="AA64" s="44"/>
      <c r="AB64" s="588" t="str">
        <f t="shared" ca="1" si="15"/>
        <v>-</v>
      </c>
    </row>
    <row r="65" spans="3:28">
      <c r="C65" s="61" t="e">
        <f t="shared" si="29"/>
        <v>#VALUE!</v>
      </c>
      <c r="D65" s="108" t="str">
        <f t="shared" si="16"/>
        <v/>
      </c>
      <c r="E65" s="57"/>
      <c r="F65" s="65" t="str">
        <f t="shared" si="17"/>
        <v/>
      </c>
      <c r="G65" s="65" t="str">
        <f t="shared" si="13"/>
        <v/>
      </c>
      <c r="H65" s="68" t="str" cm="1">
        <f t="array" ref="H65">IFERROR(IF($C65="","",(o_RollDiameter*0.5)-Fabric_Thickness*C65),"")</f>
        <v/>
      </c>
      <c r="I65" s="57"/>
      <c r="K65" s="65" t="str">
        <f t="shared" si="18"/>
        <v/>
      </c>
      <c r="L65" s="65" t="str">
        <f t="shared" si="19"/>
        <v/>
      </c>
      <c r="M65" s="68"/>
      <c r="O65" s="67" t="str">
        <f t="shared" si="20"/>
        <v/>
      </c>
      <c r="P65" s="65" t="str">
        <f t="shared" si="21"/>
        <v/>
      </c>
      <c r="Q65" s="65" t="str">
        <f t="shared" si="22"/>
        <v/>
      </c>
      <c r="R65" s="66" t="str">
        <f t="shared" si="23"/>
        <v/>
      </c>
      <c r="S65" s="77"/>
      <c r="U65" s="125" t="str">
        <f t="shared" ca="1" si="24"/>
        <v/>
      </c>
      <c r="V65" s="122" t="str">
        <f t="shared" ca="1" si="25"/>
        <v/>
      </c>
      <c r="W65" s="62" t="str">
        <f t="shared" si="26"/>
        <v/>
      </c>
      <c r="X65" s="65" t="str">
        <f t="shared" si="27"/>
        <v/>
      </c>
      <c r="Y65" s="68" t="str">
        <f t="shared" ca="1" si="28"/>
        <v/>
      </c>
      <c r="AA65" s="44"/>
      <c r="AB65" s="588" t="str">
        <f t="shared" ca="1" si="15"/>
        <v>-</v>
      </c>
    </row>
    <row r="66" spans="3:28">
      <c r="C66" s="61" t="e">
        <f t="shared" si="29"/>
        <v>#VALUE!</v>
      </c>
      <c r="D66" s="108" t="str">
        <f t="shared" si="16"/>
        <v/>
      </c>
      <c r="E66" s="57"/>
      <c r="F66" s="62" t="str">
        <f t="shared" si="17"/>
        <v/>
      </c>
      <c r="G66" s="65" t="str">
        <f t="shared" si="13"/>
        <v/>
      </c>
      <c r="H66" s="68" t="str" cm="1">
        <f t="array" ref="H66">IFERROR(IF($C66="","",(o_RollDiameter*0.5)-Fabric_Thickness*C66),"")</f>
        <v/>
      </c>
      <c r="I66" s="57"/>
      <c r="K66" s="62" t="str">
        <f t="shared" si="18"/>
        <v/>
      </c>
      <c r="L66" s="65" t="str">
        <f t="shared" si="19"/>
        <v/>
      </c>
      <c r="M66" s="68"/>
      <c r="O66" s="64" t="str">
        <f t="shared" si="20"/>
        <v/>
      </c>
      <c r="P66" s="62" t="str">
        <f t="shared" si="21"/>
        <v/>
      </c>
      <c r="Q66" s="62" t="str">
        <f t="shared" si="22"/>
        <v/>
      </c>
      <c r="R66" s="63" t="str">
        <f t="shared" si="23"/>
        <v/>
      </c>
      <c r="S66" s="77"/>
      <c r="U66" s="125" t="str">
        <f t="shared" ca="1" si="24"/>
        <v/>
      </c>
      <c r="V66" s="122" t="str">
        <f t="shared" ca="1" si="25"/>
        <v/>
      </c>
      <c r="W66" s="62" t="str">
        <f t="shared" si="26"/>
        <v/>
      </c>
      <c r="X66" s="65" t="str">
        <f t="shared" si="27"/>
        <v/>
      </c>
      <c r="Y66" s="68" t="str">
        <f t="shared" ca="1" si="28"/>
        <v/>
      </c>
      <c r="AA66" s="44"/>
      <c r="AB66" s="588" t="str">
        <f t="shared" ca="1" si="15"/>
        <v>-</v>
      </c>
    </row>
    <row r="67" spans="3:28">
      <c r="C67" s="61" t="e">
        <f t="shared" si="29"/>
        <v>#VALUE!</v>
      </c>
      <c r="D67" s="108" t="str">
        <f t="shared" si="16"/>
        <v/>
      </c>
      <c r="E67" s="57"/>
      <c r="F67" s="65" t="str">
        <f t="shared" si="17"/>
        <v/>
      </c>
      <c r="G67" s="65" t="str">
        <f t="shared" si="13"/>
        <v/>
      </c>
      <c r="H67" s="68" t="str" cm="1">
        <f t="array" ref="H67">IFERROR(IF($C67="","",(o_RollDiameter*0.5)-Fabric_Thickness*C67),"")</f>
        <v/>
      </c>
      <c r="I67" s="57"/>
      <c r="K67" s="65" t="str">
        <f t="shared" si="18"/>
        <v/>
      </c>
      <c r="L67" s="65" t="str">
        <f t="shared" si="19"/>
        <v/>
      </c>
      <c r="M67" s="68"/>
      <c r="O67" s="67" t="str">
        <f t="shared" si="20"/>
        <v/>
      </c>
      <c r="P67" s="65" t="str">
        <f t="shared" si="21"/>
        <v/>
      </c>
      <c r="Q67" s="65" t="str">
        <f t="shared" si="22"/>
        <v/>
      </c>
      <c r="R67" s="66" t="str">
        <f t="shared" si="23"/>
        <v/>
      </c>
      <c r="S67" s="77"/>
      <c r="U67" s="125" t="str">
        <f t="shared" ca="1" si="24"/>
        <v/>
      </c>
      <c r="V67" s="122" t="str">
        <f t="shared" ca="1" si="25"/>
        <v/>
      </c>
      <c r="W67" s="62" t="str">
        <f t="shared" si="26"/>
        <v/>
      </c>
      <c r="X67" s="65" t="str">
        <f t="shared" si="27"/>
        <v/>
      </c>
      <c r="Y67" s="68" t="str">
        <f t="shared" ca="1" si="28"/>
        <v/>
      </c>
      <c r="AA67" s="44"/>
      <c r="AB67" s="588" t="str">
        <f t="shared" ca="1" si="15"/>
        <v>-</v>
      </c>
    </row>
    <row r="68" spans="3:28">
      <c r="C68" s="61" t="e">
        <f t="shared" si="29"/>
        <v>#VALUE!</v>
      </c>
      <c r="D68" s="108" t="str">
        <f t="shared" si="16"/>
        <v/>
      </c>
      <c r="E68" s="57"/>
      <c r="F68" s="62" t="str">
        <f t="shared" si="17"/>
        <v/>
      </c>
      <c r="G68" s="65" t="str">
        <f t="shared" si="13"/>
        <v/>
      </c>
      <c r="H68" s="68" t="str" cm="1">
        <f t="array" ref="H68">IFERROR(IF($C68="","",(o_RollDiameter*0.5)-Fabric_Thickness*C68),"")</f>
        <v/>
      </c>
      <c r="I68" s="57"/>
      <c r="K68" s="62" t="str">
        <f t="shared" si="18"/>
        <v/>
      </c>
      <c r="L68" s="65" t="str">
        <f t="shared" si="19"/>
        <v/>
      </c>
      <c r="M68" s="68"/>
      <c r="O68" s="64" t="str">
        <f t="shared" si="20"/>
        <v/>
      </c>
      <c r="P68" s="62" t="str">
        <f t="shared" si="21"/>
        <v/>
      </c>
      <c r="Q68" s="62" t="str">
        <f t="shared" si="22"/>
        <v/>
      </c>
      <c r="R68" s="63" t="str">
        <f t="shared" si="23"/>
        <v/>
      </c>
      <c r="S68" s="77"/>
      <c r="U68" s="125" t="str">
        <f t="shared" ca="1" si="24"/>
        <v/>
      </c>
      <c r="V68" s="122" t="str">
        <f t="shared" ca="1" si="25"/>
        <v/>
      </c>
      <c r="W68" s="62" t="str">
        <f t="shared" si="26"/>
        <v/>
      </c>
      <c r="X68" s="65" t="str">
        <f t="shared" si="27"/>
        <v/>
      </c>
      <c r="Y68" s="68" t="str">
        <f t="shared" ca="1" si="28"/>
        <v/>
      </c>
      <c r="AA68" s="44"/>
      <c r="AB68" s="588" t="str">
        <f t="shared" ca="1" si="15"/>
        <v>-</v>
      </c>
    </row>
    <row r="69" spans="3:28">
      <c r="C69" s="61" t="e">
        <f t="shared" si="29"/>
        <v>#VALUE!</v>
      </c>
      <c r="D69" s="108" t="str">
        <f t="shared" si="16"/>
        <v/>
      </c>
      <c r="E69" s="57"/>
      <c r="F69" s="65" t="str">
        <f t="shared" si="17"/>
        <v/>
      </c>
      <c r="G69" s="65" t="str">
        <f t="shared" si="13"/>
        <v/>
      </c>
      <c r="H69" s="68" t="str" cm="1">
        <f t="array" ref="H69">IFERROR(IF($C69="","",(o_RollDiameter*0.5)-Fabric_Thickness*C69),"")</f>
        <v/>
      </c>
      <c r="I69" s="57"/>
      <c r="K69" s="65" t="str">
        <f t="shared" si="18"/>
        <v/>
      </c>
      <c r="L69" s="65" t="str">
        <f t="shared" si="19"/>
        <v/>
      </c>
      <c r="M69" s="68"/>
      <c r="O69" s="67" t="str">
        <f t="shared" si="20"/>
        <v/>
      </c>
      <c r="P69" s="65" t="str">
        <f t="shared" si="21"/>
        <v/>
      </c>
      <c r="Q69" s="65" t="str">
        <f t="shared" si="22"/>
        <v/>
      </c>
      <c r="R69" s="66" t="str">
        <f t="shared" si="23"/>
        <v/>
      </c>
      <c r="S69" s="77"/>
      <c r="U69" s="125" t="str">
        <f t="shared" ca="1" si="24"/>
        <v/>
      </c>
      <c r="V69" s="122" t="str">
        <f t="shared" ca="1" si="25"/>
        <v/>
      </c>
      <c r="W69" s="62" t="str">
        <f t="shared" si="26"/>
        <v/>
      </c>
      <c r="X69" s="65" t="str">
        <f t="shared" si="27"/>
        <v/>
      </c>
      <c r="Y69" s="68" t="str">
        <f t="shared" ca="1" si="28"/>
        <v/>
      </c>
      <c r="AA69" s="44"/>
      <c r="AB69" s="588" t="str">
        <f t="shared" ca="1" si="15"/>
        <v>-</v>
      </c>
    </row>
    <row r="70" spans="3:28">
      <c r="C70" s="61" t="e">
        <f t="shared" si="29"/>
        <v>#VALUE!</v>
      </c>
      <c r="D70" s="108" t="str">
        <f t="shared" si="16"/>
        <v/>
      </c>
      <c r="E70" s="57"/>
      <c r="F70" s="62" t="str">
        <f t="shared" si="17"/>
        <v/>
      </c>
      <c r="G70" s="65" t="str">
        <f t="shared" si="13"/>
        <v/>
      </c>
      <c r="H70" s="68" t="str" cm="1">
        <f t="array" ref="H70">IFERROR(IF($C70="","",(o_RollDiameter*0.5)-Fabric_Thickness*C70),"")</f>
        <v/>
      </c>
      <c r="I70" s="57"/>
      <c r="K70" s="62" t="str">
        <f t="shared" si="18"/>
        <v/>
      </c>
      <c r="L70" s="65" t="str">
        <f t="shared" si="19"/>
        <v/>
      </c>
      <c r="M70" s="68"/>
      <c r="O70" s="64" t="str">
        <f t="shared" si="20"/>
        <v/>
      </c>
      <c r="P70" s="62" t="str">
        <f t="shared" si="21"/>
        <v/>
      </c>
      <c r="Q70" s="62" t="str">
        <f t="shared" si="22"/>
        <v/>
      </c>
      <c r="R70" s="63" t="str">
        <f t="shared" si="23"/>
        <v/>
      </c>
      <c r="S70" s="77"/>
      <c r="U70" s="125" t="str">
        <f t="shared" ca="1" si="24"/>
        <v/>
      </c>
      <c r="V70" s="122" t="str">
        <f t="shared" ca="1" si="25"/>
        <v/>
      </c>
      <c r="W70" s="62" t="str">
        <f t="shared" si="26"/>
        <v/>
      </c>
      <c r="X70" s="65" t="str">
        <f t="shared" si="27"/>
        <v/>
      </c>
      <c r="Y70" s="68" t="str">
        <f t="shared" ca="1" si="28"/>
        <v/>
      </c>
      <c r="AA70" s="44"/>
      <c r="AB70" s="588" t="str">
        <f t="shared" ca="1" si="15"/>
        <v>-</v>
      </c>
    </row>
    <row r="71" spans="3:28">
      <c r="C71" s="61" t="e">
        <f t="shared" si="29"/>
        <v>#VALUE!</v>
      </c>
      <c r="D71" s="108" t="str">
        <f t="shared" si="16"/>
        <v/>
      </c>
      <c r="E71" s="57"/>
      <c r="F71" s="65" t="str">
        <f t="shared" si="17"/>
        <v/>
      </c>
      <c r="G71" s="65" t="str">
        <f t="shared" si="13"/>
        <v/>
      </c>
      <c r="H71" s="68" t="str" cm="1">
        <f t="array" ref="H71">IFERROR(IF($C71="","",(o_RollDiameter*0.5)-Fabric_Thickness*C71),"")</f>
        <v/>
      </c>
      <c r="I71" s="57"/>
      <c r="K71" s="65" t="str">
        <f t="shared" si="18"/>
        <v/>
      </c>
      <c r="L71" s="65" t="str">
        <f t="shared" si="19"/>
        <v/>
      </c>
      <c r="M71" s="68"/>
      <c r="O71" s="67" t="str">
        <f t="shared" si="20"/>
        <v/>
      </c>
      <c r="P71" s="65" t="str">
        <f t="shared" si="21"/>
        <v/>
      </c>
      <c r="Q71" s="65" t="str">
        <f t="shared" si="22"/>
        <v/>
      </c>
      <c r="R71" s="66" t="str">
        <f t="shared" si="23"/>
        <v/>
      </c>
      <c r="S71" s="77"/>
      <c r="U71" s="125" t="str">
        <f t="shared" ca="1" si="24"/>
        <v/>
      </c>
      <c r="V71" s="122" t="str">
        <f t="shared" ca="1" si="25"/>
        <v/>
      </c>
      <c r="W71" s="62" t="str">
        <f t="shared" si="26"/>
        <v/>
      </c>
      <c r="X71" s="65" t="str">
        <f t="shared" si="27"/>
        <v/>
      </c>
      <c r="Y71" s="68" t="str">
        <f t="shared" ca="1" si="28"/>
        <v/>
      </c>
      <c r="AA71" s="44"/>
      <c r="AB71" s="588" t="str">
        <f t="shared" ca="1" si="15"/>
        <v>-</v>
      </c>
    </row>
    <row r="72" spans="3:28">
      <c r="C72" s="61" t="e">
        <f t="shared" si="29"/>
        <v>#VALUE!</v>
      </c>
      <c r="D72" s="108" t="str">
        <f t="shared" si="16"/>
        <v/>
      </c>
      <c r="E72" s="57"/>
      <c r="F72" s="62" t="str">
        <f t="shared" si="17"/>
        <v/>
      </c>
      <c r="G72" s="65" t="str">
        <f t="shared" si="13"/>
        <v/>
      </c>
      <c r="H72" s="68" t="str" cm="1">
        <f t="array" ref="H72">IFERROR(IF($C72="","",(o_RollDiameter*0.5)-Fabric_Thickness*C72),"")</f>
        <v/>
      </c>
      <c r="I72" s="57"/>
      <c r="K72" s="62" t="str">
        <f t="shared" si="18"/>
        <v/>
      </c>
      <c r="L72" s="65" t="str">
        <f t="shared" si="19"/>
        <v/>
      </c>
      <c r="M72" s="68"/>
      <c r="O72" s="64" t="str">
        <f t="shared" si="20"/>
        <v/>
      </c>
      <c r="P72" s="62" t="str">
        <f t="shared" si="21"/>
        <v/>
      </c>
      <c r="Q72" s="62" t="str">
        <f t="shared" si="22"/>
        <v/>
      </c>
      <c r="R72" s="63" t="str">
        <f t="shared" si="23"/>
        <v/>
      </c>
      <c r="S72" s="77"/>
      <c r="U72" s="125" t="str">
        <f t="shared" ca="1" si="24"/>
        <v/>
      </c>
      <c r="V72" s="122" t="str">
        <f t="shared" ca="1" si="25"/>
        <v/>
      </c>
      <c r="W72" s="62" t="str">
        <f t="shared" si="26"/>
        <v/>
      </c>
      <c r="X72" s="65" t="str">
        <f t="shared" si="27"/>
        <v/>
      </c>
      <c r="Y72" s="68" t="str">
        <f t="shared" ca="1" si="28"/>
        <v/>
      </c>
      <c r="AA72" s="44"/>
      <c r="AB72" s="588" t="str">
        <f t="shared" ca="1" si="15"/>
        <v>-</v>
      </c>
    </row>
    <row r="73" spans="3:28">
      <c r="C73" s="61" t="e">
        <f t="shared" si="29"/>
        <v>#VALUE!</v>
      </c>
      <c r="D73" s="108" t="str">
        <f t="shared" si="16"/>
        <v/>
      </c>
      <c r="E73" s="57"/>
      <c r="F73" s="65" t="str">
        <f t="shared" si="17"/>
        <v/>
      </c>
      <c r="G73" s="65" t="str">
        <f t="shared" si="13"/>
        <v/>
      </c>
      <c r="H73" s="68" t="str" cm="1">
        <f t="array" ref="H73">IFERROR(IF($C73="","",(o_RollDiameter*0.5)-Fabric_Thickness*C73),"")</f>
        <v/>
      </c>
      <c r="I73" s="57"/>
      <c r="K73" s="65" t="str">
        <f t="shared" si="18"/>
        <v/>
      </c>
      <c r="L73" s="65" t="str">
        <f t="shared" si="19"/>
        <v/>
      </c>
      <c r="M73" s="68"/>
      <c r="O73" s="67" t="str">
        <f t="shared" si="20"/>
        <v/>
      </c>
      <c r="P73" s="65" t="str">
        <f t="shared" si="21"/>
        <v/>
      </c>
      <c r="Q73" s="65" t="str">
        <f t="shared" si="22"/>
        <v/>
      </c>
      <c r="R73" s="66" t="str">
        <f t="shared" si="23"/>
        <v/>
      </c>
      <c r="S73" s="77"/>
      <c r="U73" s="125" t="str">
        <f t="shared" ca="1" si="24"/>
        <v/>
      </c>
      <c r="V73" s="122" t="str">
        <f t="shared" ca="1" si="25"/>
        <v/>
      </c>
      <c r="W73" s="62" t="str">
        <f t="shared" si="26"/>
        <v/>
      </c>
      <c r="X73" s="65" t="str">
        <f t="shared" si="27"/>
        <v/>
      </c>
      <c r="Y73" s="68" t="str">
        <f t="shared" ca="1" si="28"/>
        <v/>
      </c>
      <c r="AA73" s="44"/>
      <c r="AB73" s="588" t="str">
        <f t="shared" ca="1" si="15"/>
        <v>-</v>
      </c>
    </row>
    <row r="74" spans="3:28">
      <c r="C74" s="61" t="e">
        <f t="shared" si="29"/>
        <v>#VALUE!</v>
      </c>
      <c r="D74" s="108" t="str">
        <f t="shared" si="16"/>
        <v/>
      </c>
      <c r="E74" s="57"/>
      <c r="F74" s="62" t="str">
        <f t="shared" si="17"/>
        <v/>
      </c>
      <c r="G74" s="65" t="str">
        <f t="shared" si="13"/>
        <v/>
      </c>
      <c r="H74" s="68" t="str" cm="1">
        <f t="array" ref="H74">IFERROR(IF($C74="","",(o_RollDiameter*0.5)-Fabric_Thickness*C74),"")</f>
        <v/>
      </c>
      <c r="I74" s="57"/>
      <c r="K74" s="62" t="str">
        <f t="shared" si="18"/>
        <v/>
      </c>
      <c r="L74" s="65" t="str">
        <f t="shared" si="19"/>
        <v/>
      </c>
      <c r="M74" s="68"/>
      <c r="O74" s="64" t="str">
        <f t="shared" si="20"/>
        <v/>
      </c>
      <c r="P74" s="62" t="str">
        <f t="shared" si="21"/>
        <v/>
      </c>
      <c r="Q74" s="62" t="str">
        <f t="shared" si="22"/>
        <v/>
      </c>
      <c r="R74" s="63" t="str">
        <f t="shared" si="23"/>
        <v/>
      </c>
      <c r="S74" s="77"/>
      <c r="U74" s="125" t="str">
        <f t="shared" ca="1" si="24"/>
        <v/>
      </c>
      <c r="V74" s="122" t="str">
        <f t="shared" ca="1" si="25"/>
        <v/>
      </c>
      <c r="W74" s="62" t="str">
        <f t="shared" si="26"/>
        <v/>
      </c>
      <c r="X74" s="65" t="str">
        <f t="shared" si="27"/>
        <v/>
      </c>
      <c r="Y74" s="68" t="str">
        <f t="shared" ca="1" si="28"/>
        <v/>
      </c>
      <c r="AA74" s="44"/>
      <c r="AB74" s="588" t="str">
        <f t="shared" ca="1" si="15"/>
        <v>-</v>
      </c>
    </row>
    <row r="75" spans="3:28">
      <c r="C75" s="61" t="e">
        <f t="shared" si="29"/>
        <v>#VALUE!</v>
      </c>
      <c r="D75" s="108" t="str">
        <f t="shared" ref="D75:D100" si="30">IFERROR(IF($C75="","",(Design_Drop-((PI()/1000)*((_xlfn.SINGLE(Tube_Rotations)-_xlfn.SINGLE(LiveData_TT_Rotations))*(Tube_OD+i_pwa*2*Fabric_Thickness)+Fabric_Thickness*(_xlfn.SINGLE(Tube_Rotations)-_xlfn.SINGLE(LiveData_TT_Rotations))^2)))),"")</f>
        <v/>
      </c>
      <c r="E75" s="57"/>
      <c r="F75" s="65" t="str">
        <f t="shared" ref="F75:F100" si="31">IFERROR(IF($C75="","",g*(wb_Ballast_UnitMass*Design_Width_Total+Fabric_UnitMass_Total*LiveData_Lift_Height)),"")</f>
        <v/>
      </c>
      <c r="G75" s="65" t="str">
        <f t="shared" si="13"/>
        <v/>
      </c>
      <c r="H75" s="68" t="str" cm="1">
        <f t="array" ref="H75">IFERROR(IF($C75="","",(o_RollDiameter*0.5)-Fabric_Thickness*C75),"")</f>
        <v/>
      </c>
      <c r="I75" s="57"/>
      <c r="K75" s="65" t="str">
        <f t="shared" ref="K75:K100" si="32">IFERROR(Friction_Clutch_Coeff*F75,"")</f>
        <v/>
      </c>
      <c r="L75" s="65" t="str">
        <f t="shared" ref="L75:L100" si="33">IFERROR(K75*(Friction_Clutch_Dia/2/1000)*Friction_Multiplier,"")</f>
        <v/>
      </c>
      <c r="M75" s="68"/>
      <c r="O75" s="67" t="str">
        <f t="shared" ref="O75:O100" si="34">IFERROR(IF($C75="","",F75*H75/1000),"")</f>
        <v/>
      </c>
      <c r="P75" s="65" t="str">
        <f t="shared" ref="P75:P100" si="35">IFERROR(IF($C75="","",(O75/$P$8)+Control_Friction+IF(Friction=1,L75,0)),"")</f>
        <v/>
      </c>
      <c r="Q75" s="65" t="str">
        <f t="shared" ref="Q75:Q100" si="36">IFERROR(IF($C75="","",(P75/((Control_D/1000)/2))/9.81),"")</f>
        <v/>
      </c>
      <c r="R75" s="66" t="str">
        <f t="shared" ref="R75:R100" si="37">IFERROR(IF($C75="","",(Control_Friction/(Control_D/2/1000))/9.81),"")</f>
        <v/>
      </c>
      <c r="S75" s="77"/>
      <c r="U75" s="125" t="str">
        <f t="shared" ref="U75:U100" ca="1" si="38">IFERROR((Booster_k*(Booster_Preturns+LiveData_TT_Rotations)),"")</f>
        <v/>
      </c>
      <c r="V75" s="122" t="str">
        <f t="shared" ref="V75:V100" ca="1" si="39">IFERROR(O75-U75,"")</f>
        <v/>
      </c>
      <c r="W75" s="62" t="str">
        <f t="shared" ref="W75:W100" si="40">IFERROR(IF($C75="","",IF(V75&lt;0,Control_Friction+IF(Friction=1,L75,0),(V75/Control_Ratio)+Control_Friction+IF(Friction=1,L75,0))),"")</f>
        <v/>
      </c>
      <c r="X75" s="65" t="str">
        <f t="shared" ref="X75:X100" si="41">IFERROR(IF($C75="","",(W75/((Control_D/1000)/2))/9.81),"")</f>
        <v/>
      </c>
      <c r="Y75" s="68" t="str">
        <f t="shared" ref="Y75:Y100" ca="1" si="42">IFERROR((IF(U75-O75&lt;0,Control_Friction,((U75-O75)+Control_Friction))/(Control_D/1000/2))/9.81,"")</f>
        <v/>
      </c>
      <c r="AA75" s="44"/>
      <c r="AB75" s="588" t="str">
        <f t="shared" ca="1" si="15"/>
        <v>-</v>
      </c>
    </row>
    <row r="76" spans="3:28">
      <c r="C76" s="61" t="e">
        <f t="shared" ref="C76:C100" si="43">_xlfn.SINGLE(IF(C75&lt;_xlfn.SINGLE(Tube_Rotations),IF(C75+LiveData_Increment&gt;_xlfn.SINGLE(Tube_Rotations),Tube_Rotations,C75+LiveData_Increment),#N/A))</f>
        <v>#VALUE!</v>
      </c>
      <c r="D76" s="108" t="str">
        <f t="shared" si="30"/>
        <v/>
      </c>
      <c r="E76" s="57"/>
      <c r="F76" s="62" t="str">
        <f t="shared" si="31"/>
        <v/>
      </c>
      <c r="G76" s="65" t="str">
        <f t="shared" ref="G76:G100" si="44">IFERROR(IF($C76="","",H76*2),"")</f>
        <v/>
      </c>
      <c r="H76" s="68" t="str" cm="1">
        <f t="array" ref="H76">IFERROR(IF($C76="","",(o_RollDiameter*0.5)-Fabric_Thickness*C76),"")</f>
        <v/>
      </c>
      <c r="I76" s="57"/>
      <c r="K76" s="62" t="str">
        <f t="shared" si="32"/>
        <v/>
      </c>
      <c r="L76" s="65" t="str">
        <f t="shared" si="33"/>
        <v/>
      </c>
      <c r="M76" s="68"/>
      <c r="O76" s="64" t="str">
        <f t="shared" si="34"/>
        <v/>
      </c>
      <c r="P76" s="62" t="str">
        <f t="shared" si="35"/>
        <v/>
      </c>
      <c r="Q76" s="62" t="str">
        <f t="shared" si="36"/>
        <v/>
      </c>
      <c r="R76" s="63" t="str">
        <f t="shared" si="37"/>
        <v/>
      </c>
      <c r="S76" s="77"/>
      <c r="U76" s="125" t="str">
        <f t="shared" ca="1" si="38"/>
        <v/>
      </c>
      <c r="V76" s="122" t="str">
        <f t="shared" ca="1" si="39"/>
        <v/>
      </c>
      <c r="W76" s="62" t="str">
        <f t="shared" si="40"/>
        <v/>
      </c>
      <c r="X76" s="65" t="str">
        <f t="shared" si="41"/>
        <v/>
      </c>
      <c r="Y76" s="68" t="str">
        <f t="shared" ca="1" si="42"/>
        <v/>
      </c>
      <c r="AA76" s="44"/>
      <c r="AB76" s="588" t="str">
        <f t="shared" ref="AB76:AB100" ca="1" si="45">IFERROR($AC$6*($AC$7+C76),"-")</f>
        <v>-</v>
      </c>
    </row>
    <row r="77" spans="3:28">
      <c r="C77" s="61" t="e">
        <f t="shared" si="43"/>
        <v>#VALUE!</v>
      </c>
      <c r="D77" s="108" t="str">
        <f t="shared" si="30"/>
        <v/>
      </c>
      <c r="E77" s="57"/>
      <c r="F77" s="65" t="str">
        <f t="shared" si="31"/>
        <v/>
      </c>
      <c r="G77" s="65" t="str">
        <f t="shared" si="44"/>
        <v/>
      </c>
      <c r="H77" s="68" t="str" cm="1">
        <f t="array" ref="H77">IFERROR(IF($C77="","",(o_RollDiameter*0.5)-Fabric_Thickness*C77),"")</f>
        <v/>
      </c>
      <c r="I77" s="57"/>
      <c r="K77" s="65" t="str">
        <f t="shared" si="32"/>
        <v/>
      </c>
      <c r="L77" s="65" t="str">
        <f t="shared" si="33"/>
        <v/>
      </c>
      <c r="M77" s="68"/>
      <c r="O77" s="67" t="str">
        <f t="shared" si="34"/>
        <v/>
      </c>
      <c r="P77" s="65" t="str">
        <f t="shared" si="35"/>
        <v/>
      </c>
      <c r="Q77" s="65" t="str">
        <f t="shared" si="36"/>
        <v/>
      </c>
      <c r="R77" s="66" t="str">
        <f t="shared" si="37"/>
        <v/>
      </c>
      <c r="S77" s="77"/>
      <c r="U77" s="125" t="str">
        <f t="shared" ca="1" si="38"/>
        <v/>
      </c>
      <c r="V77" s="122" t="str">
        <f t="shared" ca="1" si="39"/>
        <v/>
      </c>
      <c r="W77" s="62" t="str">
        <f t="shared" si="40"/>
        <v/>
      </c>
      <c r="X77" s="65" t="str">
        <f t="shared" si="41"/>
        <v/>
      </c>
      <c r="Y77" s="68" t="str">
        <f t="shared" ca="1" si="42"/>
        <v/>
      </c>
      <c r="AA77" s="44"/>
      <c r="AB77" s="588" t="str">
        <f t="shared" ca="1" si="45"/>
        <v>-</v>
      </c>
    </row>
    <row r="78" spans="3:28">
      <c r="C78" s="61" t="e">
        <f t="shared" si="43"/>
        <v>#VALUE!</v>
      </c>
      <c r="D78" s="108" t="str">
        <f t="shared" si="30"/>
        <v/>
      </c>
      <c r="E78" s="57"/>
      <c r="F78" s="62" t="str">
        <f t="shared" si="31"/>
        <v/>
      </c>
      <c r="G78" s="65" t="str">
        <f t="shared" si="44"/>
        <v/>
      </c>
      <c r="H78" s="68" t="str" cm="1">
        <f t="array" ref="H78">IFERROR(IF($C78="","",(o_RollDiameter*0.5)-Fabric_Thickness*C78),"")</f>
        <v/>
      </c>
      <c r="I78" s="57"/>
      <c r="K78" s="62" t="str">
        <f t="shared" si="32"/>
        <v/>
      </c>
      <c r="L78" s="65" t="str">
        <f t="shared" si="33"/>
        <v/>
      </c>
      <c r="M78" s="68"/>
      <c r="O78" s="64" t="str">
        <f t="shared" si="34"/>
        <v/>
      </c>
      <c r="P78" s="62" t="str">
        <f t="shared" si="35"/>
        <v/>
      </c>
      <c r="Q78" s="62" t="str">
        <f t="shared" si="36"/>
        <v/>
      </c>
      <c r="R78" s="63" t="str">
        <f t="shared" si="37"/>
        <v/>
      </c>
      <c r="S78" s="77"/>
      <c r="U78" s="125" t="str">
        <f t="shared" ca="1" si="38"/>
        <v/>
      </c>
      <c r="V78" s="122" t="str">
        <f t="shared" ca="1" si="39"/>
        <v/>
      </c>
      <c r="W78" s="62" t="str">
        <f t="shared" si="40"/>
        <v/>
      </c>
      <c r="X78" s="65" t="str">
        <f t="shared" si="41"/>
        <v/>
      </c>
      <c r="Y78" s="68" t="str">
        <f t="shared" ca="1" si="42"/>
        <v/>
      </c>
      <c r="AA78" s="44"/>
      <c r="AB78" s="588" t="str">
        <f t="shared" ca="1" si="45"/>
        <v>-</v>
      </c>
    </row>
    <row r="79" spans="3:28">
      <c r="C79" s="61" t="e">
        <f t="shared" si="43"/>
        <v>#VALUE!</v>
      </c>
      <c r="D79" s="108" t="str">
        <f t="shared" si="30"/>
        <v/>
      </c>
      <c r="E79" s="57"/>
      <c r="F79" s="65" t="str">
        <f t="shared" si="31"/>
        <v/>
      </c>
      <c r="G79" s="65" t="str">
        <f t="shared" si="44"/>
        <v/>
      </c>
      <c r="H79" s="68" t="str" cm="1">
        <f t="array" ref="H79">IFERROR(IF($C79="","",(o_RollDiameter*0.5)-Fabric_Thickness*C79),"")</f>
        <v/>
      </c>
      <c r="I79" s="57"/>
      <c r="K79" s="65" t="str">
        <f t="shared" si="32"/>
        <v/>
      </c>
      <c r="L79" s="65" t="str">
        <f t="shared" si="33"/>
        <v/>
      </c>
      <c r="M79" s="68"/>
      <c r="O79" s="67" t="str">
        <f t="shared" si="34"/>
        <v/>
      </c>
      <c r="P79" s="65" t="str">
        <f t="shared" si="35"/>
        <v/>
      </c>
      <c r="Q79" s="65" t="str">
        <f t="shared" si="36"/>
        <v/>
      </c>
      <c r="R79" s="66" t="str">
        <f t="shared" si="37"/>
        <v/>
      </c>
      <c r="S79" s="77"/>
      <c r="U79" s="125" t="str">
        <f t="shared" ca="1" si="38"/>
        <v/>
      </c>
      <c r="V79" s="122" t="str">
        <f t="shared" ca="1" si="39"/>
        <v/>
      </c>
      <c r="W79" s="62" t="str">
        <f t="shared" si="40"/>
        <v/>
      </c>
      <c r="X79" s="65" t="str">
        <f t="shared" si="41"/>
        <v/>
      </c>
      <c r="Y79" s="68" t="str">
        <f t="shared" ca="1" si="42"/>
        <v/>
      </c>
      <c r="AA79" s="44"/>
      <c r="AB79" s="588" t="str">
        <f t="shared" ca="1" si="45"/>
        <v>-</v>
      </c>
    </row>
    <row r="80" spans="3:28">
      <c r="C80" s="61" t="e">
        <f t="shared" si="43"/>
        <v>#VALUE!</v>
      </c>
      <c r="D80" s="108" t="str">
        <f t="shared" si="30"/>
        <v/>
      </c>
      <c r="E80" s="57"/>
      <c r="F80" s="62" t="str">
        <f t="shared" si="31"/>
        <v/>
      </c>
      <c r="G80" s="65" t="str">
        <f t="shared" si="44"/>
        <v/>
      </c>
      <c r="H80" s="68" t="str" cm="1">
        <f t="array" ref="H80">IFERROR(IF($C80="","",(o_RollDiameter*0.5)-Fabric_Thickness*C80),"")</f>
        <v/>
      </c>
      <c r="I80" s="57"/>
      <c r="K80" s="62" t="str">
        <f t="shared" si="32"/>
        <v/>
      </c>
      <c r="L80" s="65" t="str">
        <f t="shared" si="33"/>
        <v/>
      </c>
      <c r="M80" s="68"/>
      <c r="O80" s="64" t="str">
        <f t="shared" si="34"/>
        <v/>
      </c>
      <c r="P80" s="62" t="str">
        <f t="shared" si="35"/>
        <v/>
      </c>
      <c r="Q80" s="62" t="str">
        <f t="shared" si="36"/>
        <v/>
      </c>
      <c r="R80" s="63" t="str">
        <f t="shared" si="37"/>
        <v/>
      </c>
      <c r="S80" s="77"/>
      <c r="U80" s="125" t="str">
        <f t="shared" ca="1" si="38"/>
        <v/>
      </c>
      <c r="V80" s="122" t="str">
        <f t="shared" ca="1" si="39"/>
        <v/>
      </c>
      <c r="W80" s="62" t="str">
        <f t="shared" si="40"/>
        <v/>
      </c>
      <c r="X80" s="65" t="str">
        <f t="shared" si="41"/>
        <v/>
      </c>
      <c r="Y80" s="68" t="str">
        <f t="shared" ca="1" si="42"/>
        <v/>
      </c>
      <c r="AA80" s="44"/>
      <c r="AB80" s="588" t="str">
        <f t="shared" ca="1" si="45"/>
        <v>-</v>
      </c>
    </row>
    <row r="81" spans="3:28">
      <c r="C81" s="61" t="e">
        <f t="shared" si="43"/>
        <v>#VALUE!</v>
      </c>
      <c r="D81" s="108" t="str">
        <f t="shared" si="30"/>
        <v/>
      </c>
      <c r="E81" s="57"/>
      <c r="F81" s="65" t="str">
        <f t="shared" si="31"/>
        <v/>
      </c>
      <c r="G81" s="65" t="str">
        <f t="shared" si="44"/>
        <v/>
      </c>
      <c r="H81" s="68" t="str" cm="1">
        <f t="array" ref="H81">IFERROR(IF($C81="","",(o_RollDiameter*0.5)-Fabric_Thickness*C81),"")</f>
        <v/>
      </c>
      <c r="I81" s="57"/>
      <c r="K81" s="65" t="str">
        <f t="shared" si="32"/>
        <v/>
      </c>
      <c r="L81" s="65" t="str">
        <f t="shared" si="33"/>
        <v/>
      </c>
      <c r="M81" s="68"/>
      <c r="O81" s="67" t="str">
        <f t="shared" si="34"/>
        <v/>
      </c>
      <c r="P81" s="65" t="str">
        <f t="shared" si="35"/>
        <v/>
      </c>
      <c r="Q81" s="65" t="str">
        <f t="shared" si="36"/>
        <v/>
      </c>
      <c r="R81" s="66" t="str">
        <f t="shared" si="37"/>
        <v/>
      </c>
      <c r="S81" s="77"/>
      <c r="U81" s="125" t="str">
        <f t="shared" ca="1" si="38"/>
        <v/>
      </c>
      <c r="V81" s="122" t="str">
        <f t="shared" ca="1" si="39"/>
        <v/>
      </c>
      <c r="W81" s="62" t="str">
        <f t="shared" si="40"/>
        <v/>
      </c>
      <c r="X81" s="65" t="str">
        <f t="shared" si="41"/>
        <v/>
      </c>
      <c r="Y81" s="68" t="str">
        <f t="shared" ca="1" si="42"/>
        <v/>
      </c>
      <c r="AA81" s="44"/>
      <c r="AB81" s="588" t="str">
        <f t="shared" ca="1" si="45"/>
        <v>-</v>
      </c>
    </row>
    <row r="82" spans="3:28">
      <c r="C82" s="61" t="e">
        <f t="shared" si="43"/>
        <v>#VALUE!</v>
      </c>
      <c r="D82" s="108" t="str">
        <f t="shared" si="30"/>
        <v/>
      </c>
      <c r="E82" s="57"/>
      <c r="F82" s="62" t="str">
        <f t="shared" si="31"/>
        <v/>
      </c>
      <c r="G82" s="65" t="str">
        <f t="shared" si="44"/>
        <v/>
      </c>
      <c r="H82" s="68" t="str" cm="1">
        <f t="array" ref="H82">IFERROR(IF($C82="","",(o_RollDiameter*0.5)-Fabric_Thickness*C82),"")</f>
        <v/>
      </c>
      <c r="I82" s="57"/>
      <c r="K82" s="62" t="str">
        <f t="shared" si="32"/>
        <v/>
      </c>
      <c r="L82" s="65" t="str">
        <f t="shared" si="33"/>
        <v/>
      </c>
      <c r="M82" s="68"/>
      <c r="O82" s="64" t="str">
        <f t="shared" si="34"/>
        <v/>
      </c>
      <c r="P82" s="62" t="str">
        <f t="shared" si="35"/>
        <v/>
      </c>
      <c r="Q82" s="62" t="str">
        <f t="shared" si="36"/>
        <v/>
      </c>
      <c r="R82" s="63" t="str">
        <f t="shared" si="37"/>
        <v/>
      </c>
      <c r="S82" s="77"/>
      <c r="U82" s="125" t="str">
        <f t="shared" ca="1" si="38"/>
        <v/>
      </c>
      <c r="V82" s="122" t="str">
        <f t="shared" ca="1" si="39"/>
        <v/>
      </c>
      <c r="W82" s="62" t="str">
        <f t="shared" si="40"/>
        <v/>
      </c>
      <c r="X82" s="65" t="str">
        <f t="shared" si="41"/>
        <v/>
      </c>
      <c r="Y82" s="68" t="str">
        <f t="shared" ca="1" si="42"/>
        <v/>
      </c>
      <c r="AA82" s="44"/>
      <c r="AB82" s="588" t="str">
        <f t="shared" ca="1" si="45"/>
        <v>-</v>
      </c>
    </row>
    <row r="83" spans="3:28">
      <c r="C83" s="61" t="e">
        <f t="shared" si="43"/>
        <v>#VALUE!</v>
      </c>
      <c r="D83" s="108" t="str">
        <f t="shared" si="30"/>
        <v/>
      </c>
      <c r="E83" s="57"/>
      <c r="F83" s="65" t="str">
        <f t="shared" si="31"/>
        <v/>
      </c>
      <c r="G83" s="65" t="str">
        <f t="shared" si="44"/>
        <v/>
      </c>
      <c r="H83" s="68" t="str" cm="1">
        <f t="array" ref="H83">IFERROR(IF($C83="","",(o_RollDiameter*0.5)-Fabric_Thickness*C83),"")</f>
        <v/>
      </c>
      <c r="I83" s="57"/>
      <c r="K83" s="65" t="str">
        <f t="shared" si="32"/>
        <v/>
      </c>
      <c r="L83" s="65" t="str">
        <f t="shared" si="33"/>
        <v/>
      </c>
      <c r="M83" s="68"/>
      <c r="O83" s="67" t="str">
        <f t="shared" si="34"/>
        <v/>
      </c>
      <c r="P83" s="65" t="str">
        <f t="shared" si="35"/>
        <v/>
      </c>
      <c r="Q83" s="65" t="str">
        <f t="shared" si="36"/>
        <v/>
      </c>
      <c r="R83" s="66" t="str">
        <f t="shared" si="37"/>
        <v/>
      </c>
      <c r="S83" s="77"/>
      <c r="U83" s="125" t="str">
        <f t="shared" ca="1" si="38"/>
        <v/>
      </c>
      <c r="V83" s="122" t="str">
        <f t="shared" ca="1" si="39"/>
        <v/>
      </c>
      <c r="W83" s="62" t="str">
        <f t="shared" si="40"/>
        <v/>
      </c>
      <c r="X83" s="65" t="str">
        <f t="shared" si="41"/>
        <v/>
      </c>
      <c r="Y83" s="68" t="str">
        <f t="shared" ca="1" si="42"/>
        <v/>
      </c>
      <c r="AA83" s="44"/>
      <c r="AB83" s="588" t="str">
        <f t="shared" ca="1" si="45"/>
        <v>-</v>
      </c>
    </row>
    <row r="84" spans="3:28">
      <c r="C84" s="61" t="e">
        <f t="shared" si="43"/>
        <v>#VALUE!</v>
      </c>
      <c r="D84" s="108" t="str">
        <f t="shared" si="30"/>
        <v/>
      </c>
      <c r="E84" s="57"/>
      <c r="F84" s="62" t="str">
        <f t="shared" si="31"/>
        <v/>
      </c>
      <c r="G84" s="65" t="str">
        <f t="shared" si="44"/>
        <v/>
      </c>
      <c r="H84" s="68" t="str" cm="1">
        <f t="array" ref="H84">IFERROR(IF($C84="","",(o_RollDiameter*0.5)-Fabric_Thickness*C84),"")</f>
        <v/>
      </c>
      <c r="I84" s="57"/>
      <c r="K84" s="62" t="str">
        <f t="shared" si="32"/>
        <v/>
      </c>
      <c r="L84" s="65" t="str">
        <f t="shared" si="33"/>
        <v/>
      </c>
      <c r="M84" s="68"/>
      <c r="O84" s="64" t="str">
        <f t="shared" si="34"/>
        <v/>
      </c>
      <c r="P84" s="62" t="str">
        <f t="shared" si="35"/>
        <v/>
      </c>
      <c r="Q84" s="62" t="str">
        <f t="shared" si="36"/>
        <v/>
      </c>
      <c r="R84" s="63" t="str">
        <f t="shared" si="37"/>
        <v/>
      </c>
      <c r="S84" s="77"/>
      <c r="U84" s="125" t="str">
        <f t="shared" ca="1" si="38"/>
        <v/>
      </c>
      <c r="V84" s="122" t="str">
        <f t="shared" ca="1" si="39"/>
        <v/>
      </c>
      <c r="W84" s="62" t="str">
        <f t="shared" si="40"/>
        <v/>
      </c>
      <c r="X84" s="65" t="str">
        <f t="shared" si="41"/>
        <v/>
      </c>
      <c r="Y84" s="68" t="str">
        <f t="shared" ca="1" si="42"/>
        <v/>
      </c>
      <c r="AA84" s="44"/>
      <c r="AB84" s="588" t="str">
        <f t="shared" ca="1" si="45"/>
        <v>-</v>
      </c>
    </row>
    <row r="85" spans="3:28">
      <c r="C85" s="61" t="e">
        <f t="shared" si="43"/>
        <v>#VALUE!</v>
      </c>
      <c r="D85" s="108" t="str">
        <f t="shared" si="30"/>
        <v/>
      </c>
      <c r="E85" s="57"/>
      <c r="F85" s="65" t="str">
        <f t="shared" si="31"/>
        <v/>
      </c>
      <c r="G85" s="65" t="str">
        <f t="shared" si="44"/>
        <v/>
      </c>
      <c r="H85" s="68" t="str" cm="1">
        <f t="array" ref="H85">IFERROR(IF($C85="","",(o_RollDiameter*0.5)-Fabric_Thickness*C85),"")</f>
        <v/>
      </c>
      <c r="I85" s="57"/>
      <c r="K85" s="65" t="str">
        <f t="shared" si="32"/>
        <v/>
      </c>
      <c r="L85" s="65" t="str">
        <f t="shared" si="33"/>
        <v/>
      </c>
      <c r="M85" s="68"/>
      <c r="O85" s="67" t="str">
        <f t="shared" si="34"/>
        <v/>
      </c>
      <c r="P85" s="65" t="str">
        <f t="shared" si="35"/>
        <v/>
      </c>
      <c r="Q85" s="65" t="str">
        <f t="shared" si="36"/>
        <v/>
      </c>
      <c r="R85" s="66" t="str">
        <f t="shared" si="37"/>
        <v/>
      </c>
      <c r="S85" s="77"/>
      <c r="U85" s="125" t="str">
        <f t="shared" ca="1" si="38"/>
        <v/>
      </c>
      <c r="V85" s="122" t="str">
        <f t="shared" ca="1" si="39"/>
        <v/>
      </c>
      <c r="W85" s="62" t="str">
        <f t="shared" si="40"/>
        <v/>
      </c>
      <c r="X85" s="65" t="str">
        <f t="shared" si="41"/>
        <v/>
      </c>
      <c r="Y85" s="68" t="str">
        <f t="shared" ca="1" si="42"/>
        <v/>
      </c>
      <c r="AA85" s="44"/>
      <c r="AB85" s="588" t="str">
        <f t="shared" ca="1" si="45"/>
        <v>-</v>
      </c>
    </row>
    <row r="86" spans="3:28">
      <c r="C86" s="61" t="e">
        <f t="shared" si="43"/>
        <v>#VALUE!</v>
      </c>
      <c r="D86" s="108" t="str">
        <f t="shared" si="30"/>
        <v/>
      </c>
      <c r="E86" s="57"/>
      <c r="F86" s="62" t="str">
        <f t="shared" si="31"/>
        <v/>
      </c>
      <c r="G86" s="65" t="str">
        <f t="shared" si="44"/>
        <v/>
      </c>
      <c r="H86" s="68" t="str" cm="1">
        <f t="array" ref="H86">IFERROR(IF($C86="","",(o_RollDiameter*0.5)-Fabric_Thickness*C86),"")</f>
        <v/>
      </c>
      <c r="I86" s="57"/>
      <c r="K86" s="62" t="str">
        <f t="shared" si="32"/>
        <v/>
      </c>
      <c r="L86" s="65" t="str">
        <f t="shared" si="33"/>
        <v/>
      </c>
      <c r="M86" s="68"/>
      <c r="O86" s="64" t="str">
        <f t="shared" si="34"/>
        <v/>
      </c>
      <c r="P86" s="62" t="str">
        <f t="shared" si="35"/>
        <v/>
      </c>
      <c r="Q86" s="62" t="str">
        <f t="shared" si="36"/>
        <v/>
      </c>
      <c r="R86" s="63" t="str">
        <f t="shared" si="37"/>
        <v/>
      </c>
      <c r="S86" s="77"/>
      <c r="U86" s="125" t="str">
        <f t="shared" ca="1" si="38"/>
        <v/>
      </c>
      <c r="V86" s="122" t="str">
        <f t="shared" ca="1" si="39"/>
        <v/>
      </c>
      <c r="W86" s="62" t="str">
        <f t="shared" si="40"/>
        <v/>
      </c>
      <c r="X86" s="65" t="str">
        <f t="shared" si="41"/>
        <v/>
      </c>
      <c r="Y86" s="68" t="str">
        <f t="shared" ca="1" si="42"/>
        <v/>
      </c>
      <c r="AA86" s="44"/>
      <c r="AB86" s="588" t="str">
        <f t="shared" ca="1" si="45"/>
        <v>-</v>
      </c>
    </row>
    <row r="87" spans="3:28">
      <c r="C87" s="61" t="e">
        <f t="shared" si="43"/>
        <v>#VALUE!</v>
      </c>
      <c r="D87" s="108" t="str">
        <f t="shared" si="30"/>
        <v/>
      </c>
      <c r="E87" s="57"/>
      <c r="F87" s="65" t="str">
        <f t="shared" si="31"/>
        <v/>
      </c>
      <c r="G87" s="65" t="str">
        <f t="shared" si="44"/>
        <v/>
      </c>
      <c r="H87" s="68" t="str" cm="1">
        <f t="array" ref="H87">IFERROR(IF($C87="","",(o_RollDiameter*0.5)-Fabric_Thickness*C87),"")</f>
        <v/>
      </c>
      <c r="I87" s="57"/>
      <c r="K87" s="65" t="str">
        <f t="shared" si="32"/>
        <v/>
      </c>
      <c r="L87" s="65" t="str">
        <f t="shared" si="33"/>
        <v/>
      </c>
      <c r="M87" s="68"/>
      <c r="O87" s="67" t="str">
        <f t="shared" si="34"/>
        <v/>
      </c>
      <c r="P87" s="65" t="str">
        <f t="shared" si="35"/>
        <v/>
      </c>
      <c r="Q87" s="65" t="str">
        <f t="shared" si="36"/>
        <v/>
      </c>
      <c r="R87" s="66" t="str">
        <f t="shared" si="37"/>
        <v/>
      </c>
      <c r="S87" s="77"/>
      <c r="U87" s="125" t="str">
        <f t="shared" ca="1" si="38"/>
        <v/>
      </c>
      <c r="V87" s="122" t="str">
        <f t="shared" ca="1" si="39"/>
        <v/>
      </c>
      <c r="W87" s="62" t="str">
        <f t="shared" si="40"/>
        <v/>
      </c>
      <c r="X87" s="65" t="str">
        <f t="shared" si="41"/>
        <v/>
      </c>
      <c r="Y87" s="68" t="str">
        <f t="shared" ca="1" si="42"/>
        <v/>
      </c>
      <c r="AA87" s="44"/>
      <c r="AB87" s="588" t="str">
        <f t="shared" ca="1" si="45"/>
        <v>-</v>
      </c>
    </row>
    <row r="88" spans="3:28">
      <c r="C88" s="61" t="e">
        <f t="shared" si="43"/>
        <v>#VALUE!</v>
      </c>
      <c r="D88" s="108" t="str">
        <f t="shared" si="30"/>
        <v/>
      </c>
      <c r="E88" s="57"/>
      <c r="F88" s="62" t="str">
        <f t="shared" si="31"/>
        <v/>
      </c>
      <c r="G88" s="65" t="str">
        <f t="shared" si="44"/>
        <v/>
      </c>
      <c r="H88" s="68" t="str" cm="1">
        <f t="array" ref="H88">IFERROR(IF($C88="","",(o_RollDiameter*0.5)-Fabric_Thickness*C88),"")</f>
        <v/>
      </c>
      <c r="I88" s="57"/>
      <c r="K88" s="62" t="str">
        <f t="shared" si="32"/>
        <v/>
      </c>
      <c r="L88" s="65" t="str">
        <f t="shared" si="33"/>
        <v/>
      </c>
      <c r="M88" s="68"/>
      <c r="O88" s="64" t="str">
        <f t="shared" si="34"/>
        <v/>
      </c>
      <c r="P88" s="62" t="str">
        <f t="shared" si="35"/>
        <v/>
      </c>
      <c r="Q88" s="62" t="str">
        <f t="shared" si="36"/>
        <v/>
      </c>
      <c r="R88" s="63" t="str">
        <f t="shared" si="37"/>
        <v/>
      </c>
      <c r="S88" s="77"/>
      <c r="U88" s="125" t="str">
        <f t="shared" ca="1" si="38"/>
        <v/>
      </c>
      <c r="V88" s="122" t="str">
        <f t="shared" ca="1" si="39"/>
        <v/>
      </c>
      <c r="W88" s="62" t="str">
        <f t="shared" si="40"/>
        <v/>
      </c>
      <c r="X88" s="65" t="str">
        <f t="shared" si="41"/>
        <v/>
      </c>
      <c r="Y88" s="68" t="str">
        <f t="shared" ca="1" si="42"/>
        <v/>
      </c>
      <c r="AA88" s="44"/>
      <c r="AB88" s="588" t="str">
        <f t="shared" ca="1" si="45"/>
        <v>-</v>
      </c>
    </row>
    <row r="89" spans="3:28">
      <c r="C89" s="61" t="e">
        <f t="shared" si="43"/>
        <v>#VALUE!</v>
      </c>
      <c r="D89" s="108" t="str">
        <f t="shared" si="30"/>
        <v/>
      </c>
      <c r="E89" s="57"/>
      <c r="F89" s="65" t="str">
        <f t="shared" si="31"/>
        <v/>
      </c>
      <c r="G89" s="65" t="str">
        <f t="shared" si="44"/>
        <v/>
      </c>
      <c r="H89" s="68" t="str" cm="1">
        <f t="array" ref="H89">IFERROR(IF($C89="","",(o_RollDiameter*0.5)-Fabric_Thickness*C89),"")</f>
        <v/>
      </c>
      <c r="I89" s="57"/>
      <c r="K89" s="65" t="str">
        <f t="shared" si="32"/>
        <v/>
      </c>
      <c r="L89" s="65" t="str">
        <f t="shared" si="33"/>
        <v/>
      </c>
      <c r="M89" s="68"/>
      <c r="O89" s="67" t="str">
        <f t="shared" si="34"/>
        <v/>
      </c>
      <c r="P89" s="65" t="str">
        <f t="shared" si="35"/>
        <v/>
      </c>
      <c r="Q89" s="65" t="str">
        <f t="shared" si="36"/>
        <v/>
      </c>
      <c r="R89" s="66" t="str">
        <f t="shared" si="37"/>
        <v/>
      </c>
      <c r="S89" s="77"/>
      <c r="U89" s="125" t="str">
        <f t="shared" ca="1" si="38"/>
        <v/>
      </c>
      <c r="V89" s="122" t="str">
        <f t="shared" ca="1" si="39"/>
        <v/>
      </c>
      <c r="W89" s="62" t="str">
        <f t="shared" si="40"/>
        <v/>
      </c>
      <c r="X89" s="65" t="str">
        <f t="shared" si="41"/>
        <v/>
      </c>
      <c r="Y89" s="68" t="str">
        <f t="shared" ca="1" si="42"/>
        <v/>
      </c>
      <c r="AA89" s="44"/>
      <c r="AB89" s="588" t="str">
        <f t="shared" ca="1" si="45"/>
        <v>-</v>
      </c>
    </row>
    <row r="90" spans="3:28">
      <c r="C90" s="61" t="e">
        <f t="shared" si="43"/>
        <v>#VALUE!</v>
      </c>
      <c r="D90" s="108" t="str">
        <f t="shared" si="30"/>
        <v/>
      </c>
      <c r="E90" s="57"/>
      <c r="F90" s="62" t="str">
        <f t="shared" si="31"/>
        <v/>
      </c>
      <c r="G90" s="65" t="str">
        <f t="shared" si="44"/>
        <v/>
      </c>
      <c r="H90" s="68" t="str" cm="1">
        <f t="array" ref="H90">IFERROR(IF($C90="","",(o_RollDiameter*0.5)-Fabric_Thickness*C90),"")</f>
        <v/>
      </c>
      <c r="I90" s="57"/>
      <c r="K90" s="62" t="str">
        <f t="shared" si="32"/>
        <v/>
      </c>
      <c r="L90" s="65" t="str">
        <f t="shared" si="33"/>
        <v/>
      </c>
      <c r="M90" s="68"/>
      <c r="O90" s="64" t="str">
        <f t="shared" si="34"/>
        <v/>
      </c>
      <c r="P90" s="62" t="str">
        <f t="shared" si="35"/>
        <v/>
      </c>
      <c r="Q90" s="62" t="str">
        <f t="shared" si="36"/>
        <v/>
      </c>
      <c r="R90" s="63" t="str">
        <f t="shared" si="37"/>
        <v/>
      </c>
      <c r="S90" s="77"/>
      <c r="U90" s="125" t="str">
        <f t="shared" ca="1" si="38"/>
        <v/>
      </c>
      <c r="V90" s="122" t="str">
        <f t="shared" ca="1" si="39"/>
        <v/>
      </c>
      <c r="W90" s="62" t="str">
        <f t="shared" si="40"/>
        <v/>
      </c>
      <c r="X90" s="65" t="str">
        <f t="shared" si="41"/>
        <v/>
      </c>
      <c r="Y90" s="68" t="str">
        <f t="shared" ca="1" si="42"/>
        <v/>
      </c>
      <c r="AA90" s="44"/>
      <c r="AB90" s="588" t="str">
        <f t="shared" ca="1" si="45"/>
        <v>-</v>
      </c>
    </row>
    <row r="91" spans="3:28">
      <c r="C91" s="61" t="e">
        <f t="shared" si="43"/>
        <v>#VALUE!</v>
      </c>
      <c r="D91" s="108" t="str">
        <f t="shared" si="30"/>
        <v/>
      </c>
      <c r="E91" s="57"/>
      <c r="F91" s="65" t="str">
        <f t="shared" si="31"/>
        <v/>
      </c>
      <c r="G91" s="65" t="str">
        <f t="shared" si="44"/>
        <v/>
      </c>
      <c r="H91" s="68" t="str" cm="1">
        <f t="array" ref="H91">IFERROR(IF($C91="","",(o_RollDiameter*0.5)-Fabric_Thickness*C91),"")</f>
        <v/>
      </c>
      <c r="I91" s="57"/>
      <c r="K91" s="65" t="str">
        <f t="shared" si="32"/>
        <v/>
      </c>
      <c r="L91" s="65" t="str">
        <f t="shared" si="33"/>
        <v/>
      </c>
      <c r="M91" s="68"/>
      <c r="O91" s="67" t="str">
        <f t="shared" si="34"/>
        <v/>
      </c>
      <c r="P91" s="65" t="str">
        <f t="shared" si="35"/>
        <v/>
      </c>
      <c r="Q91" s="65" t="str">
        <f t="shared" si="36"/>
        <v/>
      </c>
      <c r="R91" s="66" t="str">
        <f t="shared" si="37"/>
        <v/>
      </c>
      <c r="S91" s="77"/>
      <c r="U91" s="125" t="str">
        <f t="shared" ca="1" si="38"/>
        <v/>
      </c>
      <c r="V91" s="122" t="str">
        <f t="shared" ca="1" si="39"/>
        <v/>
      </c>
      <c r="W91" s="62" t="str">
        <f t="shared" si="40"/>
        <v/>
      </c>
      <c r="X91" s="65" t="str">
        <f t="shared" si="41"/>
        <v/>
      </c>
      <c r="Y91" s="68" t="str">
        <f t="shared" ca="1" si="42"/>
        <v/>
      </c>
      <c r="AA91" s="44"/>
      <c r="AB91" s="588" t="str">
        <f t="shared" ca="1" si="45"/>
        <v>-</v>
      </c>
    </row>
    <row r="92" spans="3:28">
      <c r="C92" s="61" t="e">
        <f t="shared" si="43"/>
        <v>#VALUE!</v>
      </c>
      <c r="D92" s="108" t="str">
        <f t="shared" si="30"/>
        <v/>
      </c>
      <c r="E92" s="57"/>
      <c r="F92" s="62" t="str">
        <f t="shared" si="31"/>
        <v/>
      </c>
      <c r="G92" s="65" t="str">
        <f t="shared" si="44"/>
        <v/>
      </c>
      <c r="H92" s="68" t="str" cm="1">
        <f t="array" ref="H92">IFERROR(IF($C92="","",(o_RollDiameter*0.5)-Fabric_Thickness*C92),"")</f>
        <v/>
      </c>
      <c r="I92" s="57"/>
      <c r="K92" s="62" t="str">
        <f t="shared" si="32"/>
        <v/>
      </c>
      <c r="L92" s="65" t="str">
        <f t="shared" si="33"/>
        <v/>
      </c>
      <c r="M92" s="68"/>
      <c r="O92" s="64" t="str">
        <f t="shared" si="34"/>
        <v/>
      </c>
      <c r="P92" s="62" t="str">
        <f t="shared" si="35"/>
        <v/>
      </c>
      <c r="Q92" s="62" t="str">
        <f t="shared" si="36"/>
        <v/>
      </c>
      <c r="R92" s="63" t="str">
        <f t="shared" si="37"/>
        <v/>
      </c>
      <c r="S92" s="77"/>
      <c r="U92" s="125" t="str">
        <f t="shared" ca="1" si="38"/>
        <v/>
      </c>
      <c r="V92" s="122" t="str">
        <f t="shared" ca="1" si="39"/>
        <v/>
      </c>
      <c r="W92" s="62" t="str">
        <f t="shared" si="40"/>
        <v/>
      </c>
      <c r="X92" s="65" t="str">
        <f t="shared" si="41"/>
        <v/>
      </c>
      <c r="Y92" s="68" t="str">
        <f t="shared" ca="1" si="42"/>
        <v/>
      </c>
      <c r="AA92" s="44"/>
      <c r="AB92" s="588" t="str">
        <f t="shared" ca="1" si="45"/>
        <v>-</v>
      </c>
    </row>
    <row r="93" spans="3:28">
      <c r="C93" s="61" t="e">
        <f t="shared" si="43"/>
        <v>#VALUE!</v>
      </c>
      <c r="D93" s="108" t="str">
        <f t="shared" si="30"/>
        <v/>
      </c>
      <c r="E93" s="57"/>
      <c r="F93" s="65" t="str">
        <f t="shared" si="31"/>
        <v/>
      </c>
      <c r="G93" s="65" t="str">
        <f t="shared" si="44"/>
        <v/>
      </c>
      <c r="H93" s="68" t="str" cm="1">
        <f t="array" ref="H93">IFERROR(IF($C93="","",(o_RollDiameter*0.5)-Fabric_Thickness*C93),"")</f>
        <v/>
      </c>
      <c r="I93" s="57"/>
      <c r="K93" s="65" t="str">
        <f t="shared" si="32"/>
        <v/>
      </c>
      <c r="L93" s="65" t="str">
        <f t="shared" si="33"/>
        <v/>
      </c>
      <c r="M93" s="68"/>
      <c r="O93" s="67" t="str">
        <f t="shared" si="34"/>
        <v/>
      </c>
      <c r="P93" s="65" t="str">
        <f t="shared" si="35"/>
        <v/>
      </c>
      <c r="Q93" s="65" t="str">
        <f t="shared" si="36"/>
        <v/>
      </c>
      <c r="R93" s="66" t="str">
        <f t="shared" si="37"/>
        <v/>
      </c>
      <c r="S93" s="77"/>
      <c r="U93" s="125" t="str">
        <f t="shared" ca="1" si="38"/>
        <v/>
      </c>
      <c r="V93" s="122" t="str">
        <f t="shared" ca="1" si="39"/>
        <v/>
      </c>
      <c r="W93" s="62" t="str">
        <f t="shared" si="40"/>
        <v/>
      </c>
      <c r="X93" s="65" t="str">
        <f t="shared" si="41"/>
        <v/>
      </c>
      <c r="Y93" s="68" t="str">
        <f t="shared" ca="1" si="42"/>
        <v/>
      </c>
      <c r="AA93" s="44"/>
      <c r="AB93" s="588" t="str">
        <f t="shared" ca="1" si="45"/>
        <v>-</v>
      </c>
    </row>
    <row r="94" spans="3:28">
      <c r="C94" s="61" t="e">
        <f t="shared" si="43"/>
        <v>#VALUE!</v>
      </c>
      <c r="D94" s="108" t="str">
        <f t="shared" si="30"/>
        <v/>
      </c>
      <c r="E94" s="57"/>
      <c r="F94" s="62" t="str">
        <f t="shared" si="31"/>
        <v/>
      </c>
      <c r="G94" s="65" t="str">
        <f t="shared" si="44"/>
        <v/>
      </c>
      <c r="H94" s="68" t="str" cm="1">
        <f t="array" ref="H94">IFERROR(IF($C94="","",(o_RollDiameter*0.5)-Fabric_Thickness*C94),"")</f>
        <v/>
      </c>
      <c r="I94" s="57"/>
      <c r="K94" s="62" t="str">
        <f t="shared" si="32"/>
        <v/>
      </c>
      <c r="L94" s="65" t="str">
        <f t="shared" si="33"/>
        <v/>
      </c>
      <c r="M94" s="68"/>
      <c r="O94" s="64" t="str">
        <f t="shared" si="34"/>
        <v/>
      </c>
      <c r="P94" s="62" t="str">
        <f t="shared" si="35"/>
        <v/>
      </c>
      <c r="Q94" s="62" t="str">
        <f t="shared" si="36"/>
        <v/>
      </c>
      <c r="R94" s="63" t="str">
        <f t="shared" si="37"/>
        <v/>
      </c>
      <c r="S94" s="77"/>
      <c r="U94" s="125" t="str">
        <f t="shared" ca="1" si="38"/>
        <v/>
      </c>
      <c r="V94" s="122" t="str">
        <f t="shared" ca="1" si="39"/>
        <v/>
      </c>
      <c r="W94" s="62" t="str">
        <f t="shared" si="40"/>
        <v/>
      </c>
      <c r="X94" s="65" t="str">
        <f t="shared" si="41"/>
        <v/>
      </c>
      <c r="Y94" s="68" t="str">
        <f t="shared" ca="1" si="42"/>
        <v/>
      </c>
      <c r="AA94" s="44"/>
      <c r="AB94" s="588" t="str">
        <f t="shared" ca="1" si="45"/>
        <v>-</v>
      </c>
    </row>
    <row r="95" spans="3:28">
      <c r="C95" s="61" t="e">
        <f t="shared" si="43"/>
        <v>#VALUE!</v>
      </c>
      <c r="D95" s="108" t="str">
        <f t="shared" si="30"/>
        <v/>
      </c>
      <c r="E95" s="57"/>
      <c r="F95" s="65" t="str">
        <f t="shared" si="31"/>
        <v/>
      </c>
      <c r="G95" s="65" t="str">
        <f t="shared" si="44"/>
        <v/>
      </c>
      <c r="H95" s="68" t="str" cm="1">
        <f t="array" ref="H95">IFERROR(IF($C95="","",(o_RollDiameter*0.5)-Fabric_Thickness*C95),"")</f>
        <v/>
      </c>
      <c r="I95" s="57"/>
      <c r="K95" s="65" t="str">
        <f t="shared" si="32"/>
        <v/>
      </c>
      <c r="L95" s="65" t="str">
        <f t="shared" si="33"/>
        <v/>
      </c>
      <c r="M95" s="68"/>
      <c r="O95" s="67" t="str">
        <f t="shared" si="34"/>
        <v/>
      </c>
      <c r="P95" s="65" t="str">
        <f t="shared" si="35"/>
        <v/>
      </c>
      <c r="Q95" s="65" t="str">
        <f t="shared" si="36"/>
        <v/>
      </c>
      <c r="R95" s="66" t="str">
        <f t="shared" si="37"/>
        <v/>
      </c>
      <c r="S95" s="77"/>
      <c r="U95" s="125" t="str">
        <f t="shared" ca="1" si="38"/>
        <v/>
      </c>
      <c r="V95" s="122" t="str">
        <f t="shared" ca="1" si="39"/>
        <v/>
      </c>
      <c r="W95" s="62" t="str">
        <f t="shared" si="40"/>
        <v/>
      </c>
      <c r="X95" s="65" t="str">
        <f t="shared" si="41"/>
        <v/>
      </c>
      <c r="Y95" s="68" t="str">
        <f t="shared" ca="1" si="42"/>
        <v/>
      </c>
      <c r="AA95" s="44"/>
      <c r="AB95" s="588" t="str">
        <f t="shared" ca="1" si="45"/>
        <v>-</v>
      </c>
    </row>
    <row r="96" spans="3:28">
      <c r="C96" s="61" t="e">
        <f t="shared" si="43"/>
        <v>#VALUE!</v>
      </c>
      <c r="D96" s="108" t="str">
        <f t="shared" si="30"/>
        <v/>
      </c>
      <c r="E96" s="57"/>
      <c r="F96" s="62" t="str">
        <f t="shared" si="31"/>
        <v/>
      </c>
      <c r="G96" s="65" t="str">
        <f t="shared" si="44"/>
        <v/>
      </c>
      <c r="H96" s="68" t="str" cm="1">
        <f t="array" ref="H96">IFERROR(IF($C96="","",(o_RollDiameter*0.5)-Fabric_Thickness*C96),"")</f>
        <v/>
      </c>
      <c r="I96" s="57"/>
      <c r="K96" s="62" t="str">
        <f t="shared" si="32"/>
        <v/>
      </c>
      <c r="L96" s="65" t="str">
        <f t="shared" si="33"/>
        <v/>
      </c>
      <c r="M96" s="68"/>
      <c r="O96" s="64" t="str">
        <f t="shared" si="34"/>
        <v/>
      </c>
      <c r="P96" s="62" t="str">
        <f t="shared" si="35"/>
        <v/>
      </c>
      <c r="Q96" s="62" t="str">
        <f t="shared" si="36"/>
        <v/>
      </c>
      <c r="R96" s="63" t="str">
        <f t="shared" si="37"/>
        <v/>
      </c>
      <c r="S96" s="77"/>
      <c r="U96" s="125" t="str">
        <f t="shared" ca="1" si="38"/>
        <v/>
      </c>
      <c r="V96" s="122" t="str">
        <f t="shared" ca="1" si="39"/>
        <v/>
      </c>
      <c r="W96" s="62" t="str">
        <f t="shared" si="40"/>
        <v/>
      </c>
      <c r="X96" s="65" t="str">
        <f t="shared" si="41"/>
        <v/>
      </c>
      <c r="Y96" s="68" t="str">
        <f t="shared" ca="1" si="42"/>
        <v/>
      </c>
      <c r="AA96" s="44"/>
      <c r="AB96" s="588" t="str">
        <f t="shared" ca="1" si="45"/>
        <v>-</v>
      </c>
    </row>
    <row r="97" spans="3:28">
      <c r="C97" s="61" t="e">
        <f t="shared" si="43"/>
        <v>#VALUE!</v>
      </c>
      <c r="D97" s="108" t="str">
        <f t="shared" si="30"/>
        <v/>
      </c>
      <c r="E97" s="57"/>
      <c r="F97" s="65" t="str">
        <f t="shared" si="31"/>
        <v/>
      </c>
      <c r="G97" s="65" t="str">
        <f t="shared" si="44"/>
        <v/>
      </c>
      <c r="H97" s="68" t="str" cm="1">
        <f t="array" ref="H97">IFERROR(IF($C97="","",(o_RollDiameter*0.5)-Fabric_Thickness*C97),"")</f>
        <v/>
      </c>
      <c r="I97" s="57"/>
      <c r="K97" s="65" t="str">
        <f t="shared" si="32"/>
        <v/>
      </c>
      <c r="L97" s="65" t="str">
        <f t="shared" si="33"/>
        <v/>
      </c>
      <c r="M97" s="68"/>
      <c r="O97" s="67" t="str">
        <f t="shared" si="34"/>
        <v/>
      </c>
      <c r="P97" s="65" t="str">
        <f t="shared" si="35"/>
        <v/>
      </c>
      <c r="Q97" s="65" t="str">
        <f t="shared" si="36"/>
        <v/>
      </c>
      <c r="R97" s="66" t="str">
        <f t="shared" si="37"/>
        <v/>
      </c>
      <c r="S97" s="77"/>
      <c r="U97" s="125" t="str">
        <f t="shared" ca="1" si="38"/>
        <v/>
      </c>
      <c r="V97" s="122" t="str">
        <f t="shared" ca="1" si="39"/>
        <v/>
      </c>
      <c r="W97" s="62" t="str">
        <f t="shared" si="40"/>
        <v/>
      </c>
      <c r="X97" s="65" t="str">
        <f t="shared" si="41"/>
        <v/>
      </c>
      <c r="Y97" s="68" t="str">
        <f t="shared" ca="1" si="42"/>
        <v/>
      </c>
      <c r="AA97" s="44"/>
      <c r="AB97" s="588" t="str">
        <f t="shared" ca="1" si="45"/>
        <v>-</v>
      </c>
    </row>
    <row r="98" spans="3:28">
      <c r="C98" s="61" t="e">
        <f t="shared" si="43"/>
        <v>#VALUE!</v>
      </c>
      <c r="D98" s="108" t="str">
        <f t="shared" si="30"/>
        <v/>
      </c>
      <c r="E98" s="57"/>
      <c r="F98" s="62" t="str">
        <f t="shared" si="31"/>
        <v/>
      </c>
      <c r="G98" s="65" t="str">
        <f t="shared" si="44"/>
        <v/>
      </c>
      <c r="H98" s="68" t="str" cm="1">
        <f t="array" ref="H98">IFERROR(IF($C98="","",(o_RollDiameter*0.5)-Fabric_Thickness*C98),"")</f>
        <v/>
      </c>
      <c r="I98" s="57"/>
      <c r="K98" s="62" t="str">
        <f t="shared" si="32"/>
        <v/>
      </c>
      <c r="L98" s="65" t="str">
        <f t="shared" si="33"/>
        <v/>
      </c>
      <c r="M98" s="68"/>
      <c r="O98" s="64" t="str">
        <f t="shared" si="34"/>
        <v/>
      </c>
      <c r="P98" s="62" t="str">
        <f t="shared" si="35"/>
        <v/>
      </c>
      <c r="Q98" s="62" t="str">
        <f t="shared" si="36"/>
        <v/>
      </c>
      <c r="R98" s="63" t="str">
        <f t="shared" si="37"/>
        <v/>
      </c>
      <c r="S98" s="77"/>
      <c r="U98" s="125" t="str">
        <f t="shared" ca="1" si="38"/>
        <v/>
      </c>
      <c r="V98" s="122" t="str">
        <f t="shared" ca="1" si="39"/>
        <v/>
      </c>
      <c r="W98" s="62" t="str">
        <f t="shared" si="40"/>
        <v/>
      </c>
      <c r="X98" s="65" t="str">
        <f t="shared" si="41"/>
        <v/>
      </c>
      <c r="Y98" s="68" t="str">
        <f t="shared" ca="1" si="42"/>
        <v/>
      </c>
      <c r="AA98" s="44"/>
      <c r="AB98" s="588" t="str">
        <f t="shared" ca="1" si="45"/>
        <v>-</v>
      </c>
    </row>
    <row r="99" spans="3:28">
      <c r="C99" s="61" t="e">
        <f t="shared" si="43"/>
        <v>#VALUE!</v>
      </c>
      <c r="D99" s="108" t="str">
        <f t="shared" si="30"/>
        <v/>
      </c>
      <c r="E99" s="57"/>
      <c r="F99" s="65" t="str">
        <f t="shared" si="31"/>
        <v/>
      </c>
      <c r="G99" s="65" t="str">
        <f t="shared" si="44"/>
        <v/>
      </c>
      <c r="H99" s="68" t="str" cm="1">
        <f t="array" ref="H99">IFERROR(IF($C99="","",(o_RollDiameter*0.5)-Fabric_Thickness*C99),"")</f>
        <v/>
      </c>
      <c r="I99" s="57"/>
      <c r="K99" s="65" t="str">
        <f t="shared" si="32"/>
        <v/>
      </c>
      <c r="L99" s="65" t="str">
        <f t="shared" si="33"/>
        <v/>
      </c>
      <c r="M99" s="68"/>
      <c r="O99" s="67" t="str">
        <f t="shared" si="34"/>
        <v/>
      </c>
      <c r="P99" s="65" t="str">
        <f t="shared" si="35"/>
        <v/>
      </c>
      <c r="Q99" s="65" t="str">
        <f t="shared" si="36"/>
        <v/>
      </c>
      <c r="R99" s="66" t="str">
        <f t="shared" si="37"/>
        <v/>
      </c>
      <c r="S99" s="77"/>
      <c r="U99" s="125" t="str">
        <f t="shared" ca="1" si="38"/>
        <v/>
      </c>
      <c r="V99" s="122" t="str">
        <f t="shared" ca="1" si="39"/>
        <v/>
      </c>
      <c r="W99" s="62" t="str">
        <f t="shared" si="40"/>
        <v/>
      </c>
      <c r="X99" s="65" t="str">
        <f t="shared" si="41"/>
        <v/>
      </c>
      <c r="Y99" s="68" t="str">
        <f t="shared" ca="1" si="42"/>
        <v/>
      </c>
      <c r="AA99" s="44"/>
      <c r="AB99" s="588" t="str">
        <f t="shared" ca="1" si="45"/>
        <v>-</v>
      </c>
    </row>
    <row r="100" spans="3:28" ht="15" thickBot="1">
      <c r="C100" s="61" t="e">
        <f t="shared" si="43"/>
        <v>#VALUE!</v>
      </c>
      <c r="D100" s="108" t="str">
        <f t="shared" si="30"/>
        <v/>
      </c>
      <c r="E100" s="57"/>
      <c r="F100" s="69" t="str">
        <f t="shared" si="31"/>
        <v/>
      </c>
      <c r="G100" s="65" t="str">
        <f t="shared" si="44"/>
        <v/>
      </c>
      <c r="H100" s="68" t="str" cm="1">
        <f t="array" ref="H100">IFERROR(IF($C100="","",(o_RollDiameter*0.5)-Fabric_Thickness*C100),"")</f>
        <v/>
      </c>
      <c r="I100" s="57"/>
      <c r="K100" s="69" t="str">
        <f t="shared" si="32"/>
        <v/>
      </c>
      <c r="L100" s="65" t="str">
        <f t="shared" si="33"/>
        <v/>
      </c>
      <c r="M100" s="68"/>
      <c r="O100" s="71" t="str">
        <f t="shared" si="34"/>
        <v/>
      </c>
      <c r="P100" s="69" t="str">
        <f t="shared" si="35"/>
        <v/>
      </c>
      <c r="Q100" s="69" t="str">
        <f t="shared" si="36"/>
        <v/>
      </c>
      <c r="R100" s="70" t="str">
        <f t="shared" si="37"/>
        <v/>
      </c>
      <c r="S100" s="77"/>
      <c r="U100" s="126" t="str">
        <f t="shared" ca="1" si="38"/>
        <v/>
      </c>
      <c r="V100" s="127" t="str">
        <f t="shared" ca="1" si="39"/>
        <v/>
      </c>
      <c r="W100" s="69" t="str">
        <f t="shared" si="40"/>
        <v/>
      </c>
      <c r="X100" s="128" t="str">
        <f t="shared" si="41"/>
        <v/>
      </c>
      <c r="Y100" s="129" t="str">
        <f t="shared" ca="1" si="42"/>
        <v/>
      </c>
      <c r="AA100" s="44"/>
      <c r="AB100" s="588" t="str">
        <f t="shared" ca="1" si="45"/>
        <v>-</v>
      </c>
    </row>
  </sheetData>
  <mergeCells count="5">
    <mergeCell ref="C9:D9"/>
    <mergeCell ref="O9:R9"/>
    <mergeCell ref="U9:Y9"/>
    <mergeCell ref="F9:H9"/>
    <mergeCell ref="K9:M9"/>
  </mergeCells>
  <dataValidations disablePrompts="1" count="2">
    <dataValidation type="decimal" operator="greaterThan" allowBlank="1" showInputMessage="1" showErrorMessage="1" sqref="C3" xr:uid="{00000000-0002-0000-0100-000000000000}">
      <formula1>ROUNDUP(Rotations_Bottom_Max/90,2)</formula1>
    </dataValidation>
    <dataValidation type="whole" allowBlank="1" showInputMessage="1" showErrorMessage="1" sqref="L3" xr:uid="{00000000-0002-0000-0100-000001000000}">
      <formula1>1</formula1>
      <formula2>2</formula2>
    </dataValidation>
  </dataValidation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284B3-D1CD-4F3A-A714-A12FCF0EE8F2}">
  <sheetPr codeName="Sheet9"/>
  <dimension ref="C2:X94"/>
  <sheetViews>
    <sheetView showGridLines="0" showRowColHeaders="0" showRuler="0" topLeftCell="A42" zoomScale="115" zoomScaleNormal="115" workbookViewId="0">
      <selection activeCell="E53" sqref="E53"/>
    </sheetView>
  </sheetViews>
  <sheetFormatPr defaultRowHeight="14.5"/>
  <cols>
    <col min="4" max="4" width="9.54296875" bestFit="1" customWidth="1"/>
    <col min="5" max="5" width="72.453125" customWidth="1"/>
    <col min="7" max="7" width="15.453125" customWidth="1"/>
    <col min="8" max="8" width="14.54296875" customWidth="1"/>
    <col min="9" max="9" width="13.54296875" customWidth="1"/>
    <col min="14" max="14" width="17.54296875" customWidth="1"/>
  </cols>
  <sheetData>
    <row r="2" spans="3:24">
      <c r="E2" s="456" t="s">
        <v>718</v>
      </c>
    </row>
    <row r="3" spans="3:24">
      <c r="C3">
        <v>1.05</v>
      </c>
      <c r="D3" s="454">
        <v>44654</v>
      </c>
      <c r="E3" t="s">
        <v>719</v>
      </c>
    </row>
    <row r="4" spans="3:24">
      <c r="E4" t="s">
        <v>720</v>
      </c>
    </row>
    <row r="5" spans="3:24">
      <c r="E5" t="s">
        <v>742</v>
      </c>
    </row>
    <row r="7" spans="3:24">
      <c r="C7">
        <v>1.07</v>
      </c>
      <c r="E7" t="s">
        <v>790</v>
      </c>
    </row>
    <row r="8" spans="3:24" ht="29">
      <c r="C8">
        <v>1.08</v>
      </c>
      <c r="E8" s="261" t="s">
        <v>792</v>
      </c>
      <c r="I8" s="313" t="str">
        <f>IFERROR(ROUND(Tube_Deflection1_Units,2),"")</f>
        <v/>
      </c>
    </row>
    <row r="9" spans="3:24">
      <c r="N9" s="320" t="str">
        <f>IFERROR(ROUND(Tube_Deflection1_Units,2),"")</f>
        <v/>
      </c>
      <c r="V9" s="35" t="s">
        <v>101</v>
      </c>
      <c r="W9" s="36"/>
      <c r="X9" s="43">
        <v>0.70840000000000003</v>
      </c>
    </row>
    <row r="10" spans="3:24">
      <c r="C10" s="156">
        <v>1.1000000000000001</v>
      </c>
      <c r="E10" t="s">
        <v>800</v>
      </c>
    </row>
    <row r="11" spans="3:24">
      <c r="E11" t="s">
        <v>803</v>
      </c>
    </row>
    <row r="12" spans="3:24">
      <c r="E12" t="s">
        <v>805</v>
      </c>
    </row>
    <row r="13" spans="3:24">
      <c r="E13" t="s">
        <v>806</v>
      </c>
      <c r="V13" s="35" t="s">
        <v>97</v>
      </c>
      <c r="W13" s="36"/>
      <c r="X13" s="43">
        <v>1.1825000000000001</v>
      </c>
    </row>
    <row r="14" spans="3:24">
      <c r="E14" t="s">
        <v>811</v>
      </c>
      <c r="V14" s="35" t="s">
        <v>98</v>
      </c>
      <c r="W14" s="36"/>
      <c r="X14" s="43">
        <v>1.0089999999999999</v>
      </c>
    </row>
    <row r="15" spans="3:24">
      <c r="E15" t="s">
        <v>812</v>
      </c>
      <c r="V15" s="35" t="s">
        <v>99</v>
      </c>
      <c r="W15" s="36"/>
      <c r="X15" s="43">
        <v>1.23</v>
      </c>
    </row>
    <row r="16" spans="3:24">
      <c r="E16" t="s">
        <v>815</v>
      </c>
    </row>
    <row r="17" spans="3:5">
      <c r="E17" t="s">
        <v>819</v>
      </c>
    </row>
    <row r="18" spans="3:5">
      <c r="E18" t="s">
        <v>823</v>
      </c>
    </row>
    <row r="20" spans="3:5">
      <c r="C20">
        <v>1.1100000000000001</v>
      </c>
      <c r="E20" t="s">
        <v>824</v>
      </c>
    </row>
    <row r="21" spans="3:5">
      <c r="E21" t="s">
        <v>827</v>
      </c>
    </row>
    <row r="23" spans="3:5">
      <c r="C23">
        <v>1.1200000000000001</v>
      </c>
      <c r="E23" t="s">
        <v>830</v>
      </c>
    </row>
    <row r="25" spans="3:5">
      <c r="C25">
        <v>1.1399999999999999</v>
      </c>
      <c r="E25" t="s">
        <v>849</v>
      </c>
    </row>
    <row r="27" spans="3:5">
      <c r="C27">
        <v>1.1499999999999999</v>
      </c>
      <c r="E27" t="s">
        <v>982</v>
      </c>
    </row>
    <row r="28" spans="3:5">
      <c r="E28" t="s">
        <v>983</v>
      </c>
    </row>
    <row r="30" spans="3:5">
      <c r="C30">
        <v>1.1599999999999999</v>
      </c>
      <c r="E30" t="s">
        <v>987</v>
      </c>
    </row>
    <row r="31" spans="3:5">
      <c r="E31" t="s">
        <v>994</v>
      </c>
    </row>
    <row r="32" spans="3:5">
      <c r="C32">
        <v>1.17</v>
      </c>
      <c r="E32" t="s">
        <v>996</v>
      </c>
    </row>
    <row r="33" spans="3:5">
      <c r="C33">
        <v>1.18</v>
      </c>
      <c r="E33" t="s">
        <v>1013</v>
      </c>
    </row>
    <row r="34" spans="3:5">
      <c r="E34" t="s">
        <v>1003</v>
      </c>
    </row>
    <row r="35" spans="3:5">
      <c r="E35" t="s">
        <v>1014</v>
      </c>
    </row>
    <row r="36" spans="3:5">
      <c r="E36" t="s">
        <v>1016</v>
      </c>
    </row>
    <row r="37" spans="3:5">
      <c r="E37" t="s">
        <v>1018</v>
      </c>
    </row>
    <row r="38" spans="3:5">
      <c r="E38" s="260" t="s">
        <v>1024</v>
      </c>
    </row>
    <row r="40" spans="3:5">
      <c r="C40">
        <v>1.19</v>
      </c>
      <c r="E40" t="s">
        <v>1039</v>
      </c>
    </row>
    <row r="41" spans="3:5">
      <c r="E41" t="s">
        <v>1041</v>
      </c>
    </row>
    <row r="42" spans="3:5" ht="130.5">
      <c r="C42">
        <v>1.2</v>
      </c>
      <c r="D42" s="454">
        <v>45373</v>
      </c>
      <c r="E42" s="261" t="s">
        <v>1068</v>
      </c>
    </row>
    <row r="43" spans="3:5" ht="29">
      <c r="C43" t="s">
        <v>1073</v>
      </c>
      <c r="D43" s="645">
        <v>45505</v>
      </c>
      <c r="E43" s="261" t="s">
        <v>1075</v>
      </c>
    </row>
    <row r="44" spans="3:5" ht="72.5">
      <c r="C44" t="s">
        <v>1084</v>
      </c>
      <c r="D44" s="651" t="s">
        <v>1088</v>
      </c>
      <c r="E44" s="261" t="s">
        <v>1096</v>
      </c>
    </row>
    <row r="45" spans="3:5" ht="58">
      <c r="C45" t="s">
        <v>1097</v>
      </c>
      <c r="D45" s="645">
        <v>45689</v>
      </c>
      <c r="E45" s="261" t="s">
        <v>1100</v>
      </c>
    </row>
    <row r="46" spans="3:5">
      <c r="C46" t="s">
        <v>1128</v>
      </c>
      <c r="D46" s="645">
        <v>45931</v>
      </c>
      <c r="E46" s="261" t="s">
        <v>1129</v>
      </c>
    </row>
    <row r="47" spans="3:5">
      <c r="C47" t="s">
        <v>1135</v>
      </c>
      <c r="D47" s="645">
        <v>45992</v>
      </c>
      <c r="E47" s="261" t="s">
        <v>1136</v>
      </c>
    </row>
    <row r="48" spans="3:5">
      <c r="D48" s="645">
        <v>46143</v>
      </c>
      <c r="E48" s="261" t="s">
        <v>1138</v>
      </c>
    </row>
    <row r="49" spans="3:24">
      <c r="C49" t="s">
        <v>1154</v>
      </c>
      <c r="D49" s="645">
        <v>46174</v>
      </c>
      <c r="E49" s="261" t="s">
        <v>1153</v>
      </c>
    </row>
    <row r="50" spans="3:24" ht="58">
      <c r="D50" s="645"/>
      <c r="E50" s="261" t="s">
        <v>1156</v>
      </c>
    </row>
    <row r="51" spans="3:24">
      <c r="D51" s="645"/>
      <c r="E51" s="261" t="s">
        <v>1155</v>
      </c>
    </row>
    <row r="52" spans="3:24">
      <c r="D52" s="645"/>
      <c r="E52" s="261" t="s">
        <v>1157</v>
      </c>
    </row>
    <row r="53" spans="3:24">
      <c r="D53" s="645"/>
      <c r="E53" s="261"/>
    </row>
    <row r="54" spans="3:24">
      <c r="D54" s="645"/>
      <c r="E54" s="261"/>
    </row>
    <row r="55" spans="3:24">
      <c r="D55" s="645"/>
      <c r="E55" s="261"/>
    </row>
    <row r="57" spans="3:24">
      <c r="E57" s="456" t="s">
        <v>717</v>
      </c>
      <c r="G57" s="456" t="s">
        <v>716</v>
      </c>
      <c r="V57" s="35" t="s">
        <v>176</v>
      </c>
      <c r="W57" s="36"/>
      <c r="X57" s="43">
        <f>_ReferenceData!H90+0.8</f>
        <v>1295.8</v>
      </c>
    </row>
    <row r="59" spans="3:24">
      <c r="G59" s="314" t="str">
        <f>IF(AND(i_Region="US",'1. Start'!L20&gt;25),"Heavy Duty Pin End recommended for shades over 25 lb.","")</f>
        <v/>
      </c>
      <c r="V59" s="35" t="s">
        <v>177</v>
      </c>
      <c r="W59" s="36"/>
      <c r="X59" s="43">
        <f>_ReferenceData!H91+0.8</f>
        <v>2012.8</v>
      </c>
    </row>
    <row r="60" spans="3:24">
      <c r="V60" s="35" t="s">
        <v>179</v>
      </c>
      <c r="W60" s="36"/>
      <c r="X60" s="43">
        <f>_ReferenceData!H91+1.6</f>
        <v>2013.6</v>
      </c>
    </row>
    <row r="61" spans="3:24">
      <c r="E61" t="s">
        <v>431</v>
      </c>
      <c r="G61" s="328" t="str">
        <f ca="1">IF(Design_Width1&lt;Tube_MaxLength,"Tube Length OK", "Tube is too short, maximum length is "&amp;ROUND(Tube_MaxLength*IF(i_units_Out="Metric",1,INDEX(T_Units[Factor],MATCH("m",T_Units[Metric],0))),IF(i_units_Out="Metric",3,1))&amp;INDEX(INDIRECT("T_Units["&amp;i_Units&amp;"]"),MATCH("m",T_Units[Metric],0)))</f>
        <v>Tube Length OK</v>
      </c>
      <c r="V61" s="35" t="s">
        <v>178</v>
      </c>
      <c r="W61" s="36"/>
      <c r="X61" s="43">
        <f>_ReferenceData!H91+(1.6*2)</f>
        <v>2015.2</v>
      </c>
    </row>
    <row r="62" spans="3:24">
      <c r="E62" t="s">
        <v>285</v>
      </c>
      <c r="V62" s="35" t="s">
        <v>100</v>
      </c>
      <c r="W62" s="36"/>
      <c r="X62" s="43">
        <v>1.9890000000000001</v>
      </c>
    </row>
    <row r="63" spans="3:24">
      <c r="E63" t="s">
        <v>284</v>
      </c>
      <c r="G63" s="324" t="str" cm="1">
        <f t="array" ref="G63">IFERROR((o_RollDiameter+Tube_Deflection1*2)*IF(i_units_Out="Metric",1,INDEX(T_Units[Factor],MATCH("mm",T_Units[Metric],0))),"")</f>
        <v/>
      </c>
    </row>
    <row r="64" spans="3:24" ht="72.5">
      <c r="E64" s="261" t="s">
        <v>746</v>
      </c>
    </row>
    <row r="67" spans="5:7">
      <c r="E67" t="s">
        <v>807</v>
      </c>
    </row>
    <row r="73" spans="5:7">
      <c r="E73" s="305" t="s">
        <v>509</v>
      </c>
      <c r="F73" s="82"/>
      <c r="G73" s="302"/>
    </row>
    <row r="74" spans="5:7">
      <c r="E74" s="816" t="s">
        <v>443</v>
      </c>
      <c r="F74" s="817"/>
      <c r="G74" s="817"/>
    </row>
    <row r="75" spans="5:7">
      <c r="E75" s="305" t="s">
        <v>510</v>
      </c>
    </row>
    <row r="76" spans="5:7">
      <c r="F76" s="82"/>
      <c r="G76" s="82"/>
    </row>
    <row r="77" spans="5:7">
      <c r="F77" s="82"/>
      <c r="G77" s="82"/>
    </row>
    <row r="78" spans="5:7">
      <c r="E78" s="305"/>
      <c r="F78" s="82"/>
      <c r="G78" s="82"/>
    </row>
    <row r="79" spans="5:7">
      <c r="E79" s="305"/>
      <c r="F79" s="82"/>
      <c r="G79" s="82"/>
    </row>
    <row r="80" spans="5:7">
      <c r="E80" s="305"/>
      <c r="F80" s="82"/>
      <c r="G80" s="82"/>
    </row>
    <row r="81" spans="5:9">
      <c r="E81" s="305"/>
      <c r="F81" s="82"/>
      <c r="G81" s="82"/>
    </row>
    <row r="88" spans="5:9" ht="23.5">
      <c r="E88" s="280"/>
      <c r="G88" s="231"/>
      <c r="H88" s="82"/>
      <c r="I88" s="305"/>
    </row>
    <row r="94" spans="5:9">
      <c r="F94" s="228"/>
      <c r="G94" s="82"/>
    </row>
  </sheetData>
  <mergeCells count="1">
    <mergeCell ref="E74:G74"/>
  </mergeCells>
  <conditionalFormatting sqref="I8">
    <cfRule type="expression" dxfId="7" priority="16" stopIfTrue="1">
      <formula>Tube_Deflection1&gt;Design_Width1*Deflection_limit</formula>
    </cfRule>
    <cfRule type="dataBar" priority="17">
      <formula>IF(Tube_Deflection1&lt;Design_Width1*Deflection_limit, TRUE, FALSE)</formula>
      <dataBar>
        <cfvo type="num" val="0"/>
        <cfvo type="formula" val="o_TubeDeflectionLimit1_Units"/>
        <color rgb="FF00B050"/>
      </dataBar>
      <extLst>
        <ext xmlns:x14="http://schemas.microsoft.com/office/spreadsheetml/2009/9/main" uri="{B025F937-C7B1-47D3-B67F-A62EFF666E3E}">
          <x14:id>{0628D7B0-ED87-4741-AEE8-733C2C426B5D}</x14:id>
        </ext>
      </extLst>
    </cfRule>
  </conditionalFormatting>
  <conditionalFormatting sqref="I8">
    <cfRule type="expression" dxfId="6" priority="14">
      <formula>i_Units="Metric"</formula>
    </cfRule>
    <cfRule type="expression" dxfId="5" priority="15">
      <formula>i_Units="Imperial"</formula>
    </cfRule>
  </conditionalFormatting>
  <conditionalFormatting sqref="X9 X57 X13:X15 X59:X62">
    <cfRule type="dataBar" priority="13">
      <dataBar>
        <cfvo type="min"/>
        <cfvo type="max"/>
        <color rgb="FF638EC6"/>
      </dataBar>
      <extLst>
        <ext xmlns:x14="http://schemas.microsoft.com/office/spreadsheetml/2009/9/main" uri="{B025F937-C7B1-47D3-B67F-A62EFF666E3E}">
          <x14:id>{902D13E5-EA97-4D98-B6A6-50B93762262F}</x14:id>
        </ext>
      </extLst>
    </cfRule>
  </conditionalFormatting>
  <conditionalFormatting sqref="N9">
    <cfRule type="expression" dxfId="4" priority="11" stopIfTrue="1">
      <formula>Tube_Deflection1&gt;Design_Width1*Deflection_limit</formula>
    </cfRule>
    <cfRule type="dataBar" priority="12">
      <formula>IF(Tube_Deflection1&lt;Design_Width1*Deflection_limit, TRUE, FALSE)</formula>
      <dataBar>
        <cfvo type="num" val="0"/>
        <cfvo type="formula" val="o_TubeDeflectionLimit1_Units"/>
        <color rgb="FF00B050"/>
      </dataBar>
      <extLst>
        <ext xmlns:x14="http://schemas.microsoft.com/office/spreadsheetml/2009/9/main" uri="{B025F937-C7B1-47D3-B67F-A62EFF666E3E}">
          <x14:id>{5EFB9A4D-358E-4BC3-A0A0-9AD78DE895F0}</x14:id>
        </ext>
      </extLst>
    </cfRule>
  </conditionalFormatting>
  <conditionalFormatting sqref="G63">
    <cfRule type="expression" dxfId="3" priority="9" stopIfTrue="1">
      <formula>$K$61&gt;MaxRollDia</formula>
    </cfRule>
    <cfRule type="dataBar" priority="10">
      <formula>IF(G63&lt;XFD104, TRUE, FALSE)</formula>
      <dataBar>
        <cfvo type="num" val="0"/>
        <cfvo type="formula" val="MaxRollDia"/>
        <color rgb="FF00B050"/>
      </dataBar>
      <extLst>
        <ext xmlns:x14="http://schemas.microsoft.com/office/spreadsheetml/2009/9/main" uri="{B025F937-C7B1-47D3-B67F-A62EFF666E3E}">
          <x14:id>{E1B95E1C-0F22-494D-A4C7-8C697A4F491A}</x14:id>
        </ext>
      </extLst>
    </cfRule>
  </conditionalFormatting>
  <conditionalFormatting sqref="G63">
    <cfRule type="expression" dxfId="2" priority="7">
      <formula>i_units_Out="Metric"</formula>
    </cfRule>
    <cfRule type="expression" dxfId="1" priority="8">
      <formula>i_units_Out="Imperial"</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0628D7B0-ED87-4741-AEE8-733C2C426B5D}">
            <x14:dataBar minLength="0" maxLength="100" gradient="0">
              <x14:cfvo type="num">
                <xm:f>0</xm:f>
              </x14:cfvo>
              <x14:cfvo type="formula">
                <xm:f>o_TubeDeflectionLimit1_Units</xm:f>
              </x14:cfvo>
              <x14:negativeFillColor rgb="FFFF0000"/>
              <x14:axisColor rgb="FF000000"/>
            </x14:dataBar>
          </x14:cfRule>
          <xm:sqref>I8</xm:sqref>
        </x14:conditionalFormatting>
        <x14:conditionalFormatting xmlns:xm="http://schemas.microsoft.com/office/excel/2006/main">
          <x14:cfRule type="dataBar" id="{902D13E5-EA97-4D98-B6A6-50B93762262F}">
            <x14:dataBar minLength="0" maxLength="100" gradient="0">
              <x14:cfvo type="autoMin"/>
              <x14:cfvo type="autoMax"/>
              <x14:negativeFillColor rgb="FFFF0000"/>
              <x14:axisColor rgb="FF000000"/>
            </x14:dataBar>
          </x14:cfRule>
          <xm:sqref>X9 X57 X13:X15 X59:X62</xm:sqref>
        </x14:conditionalFormatting>
        <x14:conditionalFormatting xmlns:xm="http://schemas.microsoft.com/office/excel/2006/main">
          <x14:cfRule type="dataBar" id="{5EFB9A4D-358E-4BC3-A0A0-9AD78DE895F0}">
            <x14:dataBar minLength="0" maxLength="100" gradient="0">
              <x14:cfvo type="num">
                <xm:f>0</xm:f>
              </x14:cfvo>
              <x14:cfvo type="formula">
                <xm:f>o_TubeDeflectionLimit1_Units</xm:f>
              </x14:cfvo>
              <x14:negativeFillColor rgb="FFFF0000"/>
              <x14:axisColor rgb="FF000000"/>
            </x14:dataBar>
          </x14:cfRule>
          <xm:sqref>N9</xm:sqref>
        </x14:conditionalFormatting>
        <x14:conditionalFormatting xmlns:xm="http://schemas.microsoft.com/office/excel/2006/main">
          <x14:cfRule type="dataBar" id="{E1B95E1C-0F22-494D-A4C7-8C697A4F491A}">
            <x14:dataBar minLength="0" maxLength="100" gradient="0">
              <x14:cfvo type="num">
                <xm:f>0</xm:f>
              </x14:cfvo>
              <x14:cfvo type="formula">
                <xm:f>MaxRollDia</xm:f>
              </x14:cfvo>
              <x14:negativeFillColor rgb="FFFF0000"/>
              <x14:axisColor rgb="FF000000"/>
            </x14:dataBar>
          </x14:cfRule>
          <xm:sqref>G63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20835EC8F50744939C20C8081772B5" ma:contentTypeVersion="19" ma:contentTypeDescription="Create a new document." ma:contentTypeScope="" ma:versionID="1e41d21400c54f45b65fce617ff3b827">
  <xsd:schema xmlns:xsd="http://www.w3.org/2001/XMLSchema" xmlns:xs="http://www.w3.org/2001/XMLSchema" xmlns:p="http://schemas.microsoft.com/office/2006/metadata/properties" xmlns:ns2="a81242a3-c40a-4fa5-a3dd-e6e5d7f39dce" xmlns:ns3="29d8fac6-209c-4211-914f-875a3eff3292" targetNamespace="http://schemas.microsoft.com/office/2006/metadata/properties" ma:root="true" ma:fieldsID="bfd453d274838e4ee7785f2cabbfdaa3" ns2:_="" ns3:_="">
    <xsd:import namespace="a81242a3-c40a-4fa5-a3dd-e6e5d7f39dce"/>
    <xsd:import namespace="29d8fac6-209c-4211-914f-875a3eff32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DocType" minOccurs="0"/>
                <xsd:element ref="ns2:_Flow_SignoffStatu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1242a3-c40a-4fa5-a3dd-e6e5d7f39d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ocType" ma:index="14" nillable="true" ma:displayName="Doc Type" ma:format="Dropdown" ma:internalName="DocType">
      <xsd:simpleType>
        <xsd:restriction base="dms:Choice">
          <xsd:enumeration value="Product Offer &amp; PNR"/>
          <xsd:enumeration value="Product Requirements"/>
          <xsd:enumeration value="Templates"/>
          <xsd:enumeration value="PCR Brief"/>
          <xsd:enumeration value="Project Summary"/>
          <xsd:enumeration value="Pricing"/>
          <xsd:enumeration value="Quotation Summary"/>
        </xsd:restriction>
      </xsd:simpleType>
    </xsd:element>
    <xsd:element name="_Flow_SignoffStatus" ma:index="15" nillable="true" ma:displayName="Sign-off status" ma:internalName="Sign_x002d_off_x0020_status">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87f3f52-63fc-4ecb-895c-f50464949dfc"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d8fac6-209c-4211-914f-875a3eff32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42e6acd-ae7d-4c28-b67f-77d27d536736}" ma:internalName="TaxCatchAll" ma:showField="CatchAllData" ma:web="29d8fac6-209c-4211-914f-875a3eff32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Props1.xml><?xml version="1.0" encoding="utf-8"?>
<ds:datastoreItem xmlns:ds="http://schemas.openxmlformats.org/officeDocument/2006/customXml" ds:itemID="{4AFAF07E-B0CB-46CA-A908-AEC30225E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1242a3-c40a-4fa5-a3dd-e6e5d7f39dce"/>
    <ds:schemaRef ds:uri="29d8fac6-209c-4211-914f-875a3eff32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CC0236-649F-43A2-A922-D53AD7CA9855}">
  <ds:schemaRefs>
    <ds:schemaRef ds:uri="http://schemas.microsoft.com/sharepoint/v3/contenttype/forms"/>
  </ds:schemaRefs>
</ds:datastoreItem>
</file>

<file path=customXml/itemProps3.xml><?xml version="1.0" encoding="utf-8"?>
<ds:datastoreItem xmlns:ds="http://schemas.openxmlformats.org/officeDocument/2006/customXml" ds:itemID="{D7F8DB05-ADBD-4F40-BBC6-96B649C2F7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 Intro</vt:lpstr>
      <vt:lpstr>1. Start</vt:lpstr>
      <vt:lpstr>2. System Charts</vt:lpstr>
      <vt:lpstr>3. Hardware Options</vt:lpstr>
      <vt:lpstr>4. Custom Fabric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Chauhan</dc:creator>
  <cp:lastModifiedBy>Oliver Chauhan</cp:lastModifiedBy>
  <cp:lastPrinted>2022-03-21T20:51:12Z</cp:lastPrinted>
  <dcterms:created xsi:type="dcterms:W3CDTF">2017-10-12T21:43:09Z</dcterms:created>
  <dcterms:modified xsi:type="dcterms:W3CDTF">2026-06-22T03:51:35Z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3081</vt:lpwstr>
  </property>
  <property fmtid="{D5CDD505-2E9C-101B-9397-08002B2CF9AE}" pid="3" name="Date">
    <vt:filetime>2018-10-03T00:00:00Z</vt:filetime>
  </property>
  <property fmtid="{D5CDD505-2E9C-101B-9397-08002B2CF9AE}" pid="4" name="tProjectNumber">
    <vt:lpwstr> </vt:lpwstr>
  </property>
  <property fmtid="{D5CDD505-2E9C-101B-9397-08002B2CF9AE}" pid="5" name="tProjectTitle">
    <vt:lpwstr>
    </vt:lpwstr>
  </property>
</Properties>
</file>